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Notes" sheetId="1" r:id="rId1"/>
    <sheet name="Starting population" sheetId="2" r:id="rId2"/>
    <sheet name="Non-AIDS mortality" sheetId="3" r:id="rId3"/>
    <sheet name="Fertility" sheetId="4" r:id="rId4"/>
    <sheet name="Age exits" sheetId="5" r:id="rId5"/>
    <sheet name="Partner acquisition" sheetId="6" r:id="rId6"/>
    <sheet name="Marriage" sheetId="7" r:id="rId7"/>
    <sheet name="Divorce" sheetId="8" r:id="rId8"/>
    <sheet name="Sex work" sheetId="9" r:id="rId9"/>
    <sheet name="Age preferences" sheetId="10" r:id="rId10"/>
    <sheet name="Start profile calcs" sheetId="11" r:id="rId11"/>
  </sheets>
  <definedNames>
    <definedName name="Assortativeness">'Partner acquisition'!$B$32</definedName>
    <definedName name="GenderEquality">'Partner acquisition'!$B$35</definedName>
    <definedName name="MeanDurSTrel">'Partner acquisition'!$B$29</definedName>
  </definedNames>
  <calcPr calcMode="manual" fullCalcOnLoad="1"/>
</workbook>
</file>

<file path=xl/comments6.xml><?xml version="1.0" encoding="utf-8"?>
<comments xmlns="http://schemas.openxmlformats.org/spreadsheetml/2006/main">
  <authors>
    <author>Johnson</author>
  </authors>
  <commentList>
    <comment ref="B22" authorId="0">
      <text>
        <r>
          <rPr>
            <b/>
            <sz val="8"/>
            <rFont val="Tahoma"/>
            <family val="0"/>
          </rPr>
          <t>Johnson:</t>
        </r>
        <r>
          <rPr>
            <sz val="8"/>
            <rFont val="Tahoma"/>
            <family val="0"/>
          </rPr>
          <t xml:space="preserve">
This parameter varies in the uncertainty analysis. The value specified here is for illustrative purposes only.</t>
        </r>
      </text>
    </comment>
    <comment ref="C22" authorId="0">
      <text>
        <r>
          <rPr>
            <b/>
            <sz val="8"/>
            <rFont val="Tahoma"/>
            <family val="0"/>
          </rPr>
          <t>Johnson:</t>
        </r>
        <r>
          <rPr>
            <sz val="8"/>
            <rFont val="Tahoma"/>
            <family val="0"/>
          </rPr>
          <t xml:space="preserve">
This parameter varies in the uncertainty analysis. The value specified here is for illustrative purposes only.</t>
        </r>
      </text>
    </comment>
    <comment ref="B23" authorId="0">
      <text>
        <r>
          <rPr>
            <b/>
            <sz val="8"/>
            <rFont val="Tahoma"/>
            <family val="0"/>
          </rPr>
          <t>Johnson:</t>
        </r>
        <r>
          <rPr>
            <sz val="8"/>
            <rFont val="Tahoma"/>
            <family val="0"/>
          </rPr>
          <t xml:space="preserve">
This parameter varies in the uncertainty analysis. The value specified here is for illustrative purposes only.</t>
        </r>
      </text>
    </comment>
    <comment ref="C23" authorId="0">
      <text>
        <r>
          <rPr>
            <b/>
            <sz val="8"/>
            <rFont val="Tahoma"/>
            <family val="0"/>
          </rPr>
          <t>Johnson:</t>
        </r>
        <r>
          <rPr>
            <sz val="8"/>
            <rFont val="Tahoma"/>
            <family val="0"/>
          </rPr>
          <t xml:space="preserve">
This parameter varies in the uncertainty analysis. The value specified here is for illustrative purposes only.</t>
        </r>
      </text>
    </comment>
    <comment ref="B26" authorId="0">
      <text>
        <r>
          <rPr>
            <b/>
            <sz val="8"/>
            <rFont val="Tahoma"/>
            <family val="0"/>
          </rPr>
          <t>Johnson:</t>
        </r>
        <r>
          <rPr>
            <sz val="8"/>
            <rFont val="Tahoma"/>
            <family val="0"/>
          </rPr>
          <t xml:space="preserve">
This parameter varies in the uncertainty analysis. The value specified here is for illustrative purposes only.</t>
        </r>
      </text>
    </comment>
    <comment ref="C26" authorId="0">
      <text>
        <r>
          <rPr>
            <b/>
            <sz val="8"/>
            <rFont val="Tahoma"/>
            <family val="0"/>
          </rPr>
          <t>Johnson:</t>
        </r>
        <r>
          <rPr>
            <sz val="8"/>
            <rFont val="Tahoma"/>
            <family val="0"/>
          </rPr>
          <t xml:space="preserve">
This parameter varies in the uncertainty analysis. The value specified here is for illustrative purposes only.</t>
        </r>
      </text>
    </comment>
    <comment ref="B32" authorId="0">
      <text>
        <r>
          <rPr>
            <b/>
            <sz val="8"/>
            <rFont val="Tahoma"/>
            <family val="0"/>
          </rPr>
          <t>Johnson:</t>
        </r>
        <r>
          <rPr>
            <sz val="8"/>
            <rFont val="Tahoma"/>
            <family val="0"/>
          </rPr>
          <t xml:space="preserve">
This parameter varies in the uncertainty analysis. The value specified here is for illustrative purposes only.</t>
        </r>
      </text>
    </comment>
  </commentList>
</comments>
</file>

<file path=xl/sharedStrings.xml><?xml version="1.0" encoding="utf-8"?>
<sst xmlns="http://schemas.openxmlformats.org/spreadsheetml/2006/main" count="635" uniqueCount="195">
  <si>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</si>
  <si>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</si>
  <si>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</si>
  <si>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</si>
  <si>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</si>
  <si>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</si>
  <si>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</si>
  <si>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</si>
  <si>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</si>
  <si>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</si>
  <si>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</si>
  <si>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</si>
  <si>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</si>
  <si>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</si>
  <si>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</si>
  <si>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</si>
  <si>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>Annual probability of non-AIDS death in males (by age last birthday at start of year)</t>
  </si>
  <si>
    <t>Annual probability of non-AIDS death in females (by age last birthday at start of year)</t>
  </si>
  <si>
    <t>Annual probability of non-AIDS death in young males (by age last birthday at start of year)</t>
  </si>
  <si>
    <t>Annual probability of non-AIDS death in young females (by age last birthday at start of year)</t>
  </si>
  <si>
    <t>Male</t>
  </si>
  <si>
    <t>Female</t>
  </si>
  <si>
    <t>0.5q0 (probability of non-AIDS death in first 6 months of life)</t>
  </si>
  <si>
    <t>Annual probability of giving birth (by age last birthday at the start of the year)</t>
  </si>
  <si>
    <t>Initial population as at mid-1985 (by age last birthday)</t>
  </si>
  <si>
    <t>HIV-</t>
  </si>
  <si>
    <t>Annual probability of leaving 5-year age cohort (in sexually experienced males)</t>
  </si>
  <si>
    <t>Primary HIV</t>
  </si>
  <si>
    <t>Asymptomatic (post-primary) HIV</t>
  </si>
  <si>
    <t>Pre-AIDS symptoms</t>
  </si>
  <si>
    <t>Untreated AIDS</t>
  </si>
  <si>
    <t>On HAART</t>
  </si>
  <si>
    <t>Annual probability of leaving 5-year age cohort (in sexually experienced females)</t>
  </si>
  <si>
    <t>Annual probability of leaving 5-year age cohort (in male virgins)</t>
  </si>
  <si>
    <t>Annual probability of leaving 5-year age cohort (in female virgins)</t>
  </si>
  <si>
    <t>Males</t>
  </si>
  <si>
    <t>Females</t>
  </si>
  <si>
    <t>Annual rate of marriage (by age last birthday at start of year)</t>
  </si>
  <si>
    <t>age</t>
  </si>
  <si>
    <t>Proportion of male partners in each age category</t>
  </si>
  <si>
    <t>Proportion of female partners in each age category</t>
  </si>
  <si>
    <t>Annual prob of marriage (by age last birthday at start of year)</t>
  </si>
  <si>
    <t>Annual prob of spousal union dissolution in 1985 (by age last birthday at middle of 1985)</t>
  </si>
  <si>
    <t>Annual rate of divorce (by age last birthday at start of year)</t>
  </si>
  <si>
    <t>Calculations of starting profile</t>
  </si>
  <si>
    <t>% of population in high risk group</t>
  </si>
  <si>
    <t>Rate of sexual debut in 10-14 group (high risk)</t>
  </si>
  <si>
    <t>Rate of sexual debut in 15-19 group (high risk)</t>
  </si>
  <si>
    <t>Rate of sexual debut in 20-24 group (high risk)</t>
  </si>
  <si>
    <t>Rate of sexual debut in 25-29 group (high risk)</t>
  </si>
  <si>
    <t>Rate of sexual debut in low risk group, as multiple of high risk</t>
  </si>
  <si>
    <t># virgins</t>
  </si>
  <si>
    <t># sexually experienced</t>
  </si>
  <si>
    <t># married</t>
  </si>
  <si>
    <t>and unmarried</t>
  </si>
  <si>
    <t>Proportion married</t>
  </si>
  <si>
    <t># virgins (high risk)</t>
  </si>
  <si>
    <t># virgins (low risk)</t>
  </si>
  <si>
    <t># married (high risk)</t>
  </si>
  <si>
    <t># married (low risk)</t>
  </si>
  <si>
    <t>(high risk)</t>
  </si>
  <si>
    <t>(low risk)</t>
  </si>
  <si>
    <t>&amp; unmarried (high)</t>
  </si>
  <si>
    <t>&amp; unmarried (low)</t>
  </si>
  <si>
    <t>Annual rate of non-spousal partner acquisition in high risk individuals who are currently single (by age last birthday at start of year)</t>
  </si>
  <si>
    <t>Ratio of partner acquisition rate in high risk individuals who have 1 partner to partner acquisition rate in high risk individuals who are single</t>
  </si>
  <si>
    <t>Unmarried</t>
  </si>
  <si>
    <t>Married</t>
  </si>
  <si>
    <t>Ratio of partner acquisition rate in low risk individuals who are single to partner acquisition rate in high risk individuals who are single</t>
  </si>
  <si>
    <t>Splitting numbers by risk group</t>
  </si>
  <si>
    <t>Splitting cohorts according to numbers of current sexual partners</t>
  </si>
  <si>
    <t>Unmarried with no</t>
  </si>
  <si>
    <t>partner (high risk)</t>
  </si>
  <si>
    <t>Mean duration of non-spousal relationships (in years), ignoring partner mortality</t>
  </si>
  <si>
    <t>Unmarried with one</t>
  </si>
  <si>
    <t>Unmarried with two</t>
  </si>
  <si>
    <t>partners (high risk)</t>
  </si>
  <si>
    <t>partner (low risk)</t>
  </si>
  <si>
    <t>Married with no other</t>
  </si>
  <si>
    <t>Married with one other</t>
  </si>
  <si>
    <t>Grouping into 5-year age bands</t>
  </si>
  <si>
    <t>Assortativeness of sexual mixing</t>
  </si>
  <si>
    <t>High risk</t>
  </si>
  <si>
    <t>Low risk</t>
  </si>
  <si>
    <t>Desired proportion of partners in risk group</t>
  </si>
  <si>
    <t>Male high</t>
  </si>
  <si>
    <t>Male low</t>
  </si>
  <si>
    <t>Female high</t>
  </si>
  <si>
    <t>Female low</t>
  </si>
  <si>
    <t>Gender equality factor (0 implies male-dominated partnership formation, 1 implies female-dominated partnership formation)</t>
  </si>
  <si>
    <t>Adjusted numbers of partnerships</t>
  </si>
  <si>
    <t>Adjusted proportions of partners in high risk group</t>
  </si>
  <si>
    <t>Numbers of non-spousal partners</t>
  </si>
  <si>
    <t>Desired distribution of spousal partners</t>
  </si>
  <si>
    <t>Adjusted numbers of marriages</t>
  </si>
  <si>
    <t>Adjusted proportions of spouses in high risk group</t>
  </si>
  <si>
    <t>contact</t>
  </si>
  <si>
    <t>Average annual number of CSW contacts, for men aged 15-49</t>
  </si>
  <si>
    <t>Parameters for gamma distribution that determines CSW contact rate by age</t>
  </si>
  <si>
    <t>Mean</t>
  </si>
  <si>
    <t>Standard deviation</t>
  </si>
  <si>
    <t>Alpha</t>
  </si>
  <si>
    <t>Lambda</t>
  </si>
  <si>
    <t>Relative rate of sex worker contact in men with</t>
  </si>
  <si>
    <t>1 non-spousal partner</t>
  </si>
  <si>
    <t>1 spousal partner</t>
  </si>
  <si>
    <t>2 non-spousal partners</t>
  </si>
  <si>
    <t>1 spousal partner + 1 non-spousal partner</t>
  </si>
  <si>
    <t>Age group</t>
  </si>
  <si>
    <t>Average</t>
  </si>
  <si>
    <t>Unadjusted</t>
  </si>
  <si>
    <t>rate of sex</t>
  </si>
  <si>
    <t>worker</t>
  </si>
  <si>
    <t># sex</t>
  </si>
  <si>
    <t>visits</t>
  </si>
  <si>
    <t>Adjusted</t>
  </si>
  <si>
    <t>Total 15-49</t>
  </si>
  <si>
    <t>Annual number of client contacts per sex worker</t>
  </si>
  <si>
    <t>Initial age</t>
  </si>
  <si>
    <t>distribution</t>
  </si>
  <si>
    <t>of sex</t>
  </si>
  <si>
    <t>workers</t>
  </si>
  <si>
    <t>Virgins</t>
  </si>
  <si>
    <t>High risk sexual activity states</t>
  </si>
  <si>
    <t>Single and sexually</t>
  </si>
  <si>
    <t>experienced</t>
  </si>
  <si>
    <t>One non-spousal high</t>
  </si>
  <si>
    <t>risk partner</t>
  </si>
  <si>
    <t>One non-spousal low</t>
  </si>
  <si>
    <t>One spousal high</t>
  </si>
  <si>
    <t>One spousal low</t>
  </si>
  <si>
    <t>Two non-spousal high</t>
  </si>
  <si>
    <t>risk partners</t>
  </si>
  <si>
    <t>Two non-spousal low</t>
  </si>
  <si>
    <t>(1 high, 1 low risk)</t>
  </si>
  <si>
    <t>High risk spousal,</t>
  </si>
  <si>
    <t>high risk non-spousal</t>
  </si>
  <si>
    <t>low risk non-spousal</t>
  </si>
  <si>
    <t>Low risk spousal,</t>
  </si>
  <si>
    <t>Sex</t>
  </si>
  <si>
    <t>Low risk sexual activity states</t>
  </si>
  <si>
    <t>NOTES</t>
  </si>
  <si>
    <t>This workbook contains the demographic assumptions and the assumptions used to determine the rates at which individuals move between</t>
  </si>
  <si>
    <t>state as at the middle of 1985) is calculated. Comments below provide more detail on each worksheet.</t>
  </si>
  <si>
    <t>"Starting population" worksheet</t>
  </si>
  <si>
    <t>"Non-AIDS mortality" worksheet</t>
  </si>
  <si>
    <t>The annual mortality probabilities in this sheet are obtained from the ASSA2003 AIDS and Demographic model, by summing the number of non-AIDS</t>
  </si>
  <si>
    <t>"Fertility" worksheet</t>
  </si>
  <si>
    <t>The annual probability of birth in HIV-negative women is obtained from the ASSA2003 AIDS and Demographic model. The fertility rates in women</t>
  </si>
  <si>
    <t>"Age exits" worksheet</t>
  </si>
  <si>
    <t>Age exit rates are also estimated from the ASSA2003 AIDS and Demographic model. However, since the two models differ in their estimated</t>
  </si>
  <si>
    <t>5-year age cohort at the end of each year (see column B).</t>
  </si>
  <si>
    <t>"Partner acquisition" worksheet</t>
  </si>
  <si>
    <t>Although the annual rates of partner acquisition in B4:C19 are very high, these apply only to high risk individuals who are currently single. Rates</t>
  </si>
  <si>
    <t>of partner acquisition are reduced in individuals who already have partners, and in individuals who are in the low risk group (the adjustment factors</t>
  </si>
  <si>
    <t>are shown towards the bottom of the worksheet). Individuals are assumed to never have more than 2 partners at the same time.</t>
  </si>
  <si>
    <t>"Marriage" worksheet</t>
  </si>
  <si>
    <t>The annual rates of marriage in this worksheet were set by "trial and error", being chosen in such a way that the model estimates of the married</t>
  </si>
  <si>
    <t>"Divorce" worksheet</t>
  </si>
  <si>
    <t>The annual rates of divorce are based on 2004 divorce statistics published by Statistics South Africa (2006), which we have doubled in order to</t>
  </si>
  <si>
    <t xml:space="preserve">make allowance for incomplete reporting of union dissolution, and to make allowance for the higher rate of union dissolution in cohabiting couples </t>
  </si>
  <si>
    <t>who are not formally married. The rates of union dissolution in the bottom half of the sheet combine the divorce rates with the estimated rates</t>
  </si>
  <si>
    <t>"Age preferences" worksheet</t>
  </si>
  <si>
    <t>These tables show the assumed proportions of sexual partners in different age categories.</t>
  </si>
  <si>
    <t>"Start profile calcs" worksheet</t>
  </si>
  <si>
    <t>"Sex work" worksheet</t>
  </si>
  <si>
    <t>This worksheet begins with a series of assumptions about the rate at which men visit sex workers. The bottom half of the sheet calculates the</t>
  </si>
  <si>
    <t>expected number of contacts between sex workers and clients in the first year of the projection (1985), for men in each age group. It also</t>
  </si>
  <si>
    <t>shows the assumed initial age distribution of the sex worker population, which is based on data from a study conducted in Hillbrow (Rees et al, 2000).</t>
  </si>
  <si>
    <t>This worksheet shows how the profile of the population at the start of the projection (1985) is calculated. In the first part of the sheet (columns C to AB)</t>
  </si>
  <si>
    <t>we calculate the numbers of individuals in different sexual behaviour categories, for each individual age. It is assumed that prior to 1985, rates of</t>
  </si>
  <si>
    <t>population that is married is the same in the high risk and low risk groups.</t>
  </si>
  <si>
    <t xml:space="preserve">In the next section of the sheet (columns AE to BB) we group the numbers calculated previously into 5-year age groups. </t>
  </si>
  <si>
    <t xml:space="preserve">Following this, in columns BD to BQ, we calculate the numbers of individuals with different numbers of current partners. The formulas that </t>
  </si>
  <si>
    <t xml:space="preserve">are used here are based on the assumption that if we ignore changes in cohort sizes due to marriage, divorce, death and ageing, the proportion of </t>
  </si>
  <si>
    <t>the cohort with different numbers of non-spousal partners should remain constant over time. These proportions can be calculated by solving a</t>
  </si>
  <si>
    <t>series of differential equations that relate the proportions with different numbers of partners to rates of partner acquisition and rates of partnership</t>
  </si>
  <si>
    <t>dissolution.</t>
  </si>
  <si>
    <t>marriage, rates of divorce, rates of spousal mortality and rates of sexual debut were stable over time. It is also assumed that the proportion of the</t>
  </si>
  <si>
    <t>Finally, in columns BS to DF, we calculate the numbers of individuals in each sexual activity state, by age and by sex, by allocating the previously</t>
  </si>
  <si>
    <t>calculated numbers to different partner risk groups. This requires us to estimate first the proportions of partners who are in the high risk and low risk</t>
  </si>
  <si>
    <t>groups, which is achieved by "balancing" male and female partner risk group preferences (see calculations in BS2:CL10).</t>
  </si>
  <si>
    <t>Note that the calculations in this worksheet show only the INITIAL allocation of individuals to different sexual activity states at the start of the</t>
  </si>
  <si>
    <t>projection. The method used to model the change in the sizes of the different sexual activity states after the start of the projection is explained in</t>
  </si>
  <si>
    <t>different sexual behaviour states. The workbook also shows how the initial profile of the adult population (i.e. numbers in each sexual activity</t>
  </si>
  <si>
    <t>deaths in each five-year age band and dividing by the number of individuals in the corresponding age band at the start of the year.</t>
  </si>
  <si>
    <t>who are HIV-positive are assumed to be lower than those shown here, by factors given in Table 2 of the paper.</t>
  </si>
  <si>
    <t>rates of sexual debut, a formula is used to estimate the proportions of virgins and sexually experienced HIV-negative youth moving out of each</t>
  </si>
  <si>
    <t>proportion of the population, by age and sex, is consistent with the results of the 1996 census, 2001 census and 2007 Community Survey.</t>
  </si>
  <si>
    <t>of spousal mortality (to allow for widowhood). These rates of union dissolution are updated at the start of each period in the model, to allow for rising</t>
  </si>
  <si>
    <t>levels of widowhood due to AIDS.</t>
  </si>
  <si>
    <t>Appendix A of the main paper. Also note that the initial population profile varies depending on the assumed relative rates of partner acquisition in</t>
  </si>
  <si>
    <t>different sexual activity states, and these parameters are allowed to vary in the uncertainty analysis.</t>
  </si>
  <si>
    <t>The starting population is the same as that in the ASSA2003 AIDS and Demographic model for the South African population. The base population</t>
  </si>
  <si>
    <t>in the ASSA2003 model was reconstructed from projections, based on the 1970, 1996 and 2001 censuses. The numbers are therefore not integers.</t>
  </si>
</sst>
</file>

<file path=xl/styles.xml><?xml version="1.0" encoding="utf-8"?>
<styleSheet xmlns="http://schemas.openxmlformats.org/spreadsheetml/2006/main">
  <numFmts count="1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%"/>
    <numFmt numFmtId="165" formatCode="0.0"/>
    <numFmt numFmtId="166" formatCode="0.000"/>
  </numFmts>
  <fonts count="5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17" fontId="0" fillId="0" borderId="0" xfId="0" applyNumberFormat="1" applyAlignment="1" quotePrefix="1">
      <alignment/>
    </xf>
    <xf numFmtId="0" fontId="0" fillId="4" borderId="0" xfId="0" applyFill="1" applyAlignment="1">
      <alignment/>
    </xf>
    <xf numFmtId="0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5" borderId="0" xfId="0" applyFill="1" applyAlignment="1">
      <alignment/>
    </xf>
    <xf numFmtId="9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70"/>
  <sheetViews>
    <sheetView tabSelected="1" workbookViewId="0" topLeftCell="A1">
      <selection activeCell="N2" sqref="N2"/>
    </sheetView>
  </sheetViews>
  <sheetFormatPr defaultColWidth="9.140625" defaultRowHeight="12.75"/>
  <cols>
    <col min="1" max="1" width="5.00390625" style="0" customWidth="1"/>
    <col min="2" max="2" width="5.140625" style="0" customWidth="1"/>
  </cols>
  <sheetData>
    <row r="2" ht="12.75">
      <c r="C2" t="s">
        <v>141</v>
      </c>
    </row>
    <row r="4" ht="12.75">
      <c r="C4" t="s">
        <v>142</v>
      </c>
    </row>
    <row r="5" ht="12.75">
      <c r="C5" t="s">
        <v>184</v>
      </c>
    </row>
    <row r="6" ht="12.75">
      <c r="C6" t="s">
        <v>143</v>
      </c>
    </row>
    <row r="8" spans="2:3" ht="12.75">
      <c r="B8">
        <v>1</v>
      </c>
      <c r="C8" t="s">
        <v>144</v>
      </c>
    </row>
    <row r="9" ht="12.75">
      <c r="C9" t="s">
        <v>193</v>
      </c>
    </row>
    <row r="10" ht="12.75">
      <c r="C10" t="s">
        <v>194</v>
      </c>
    </row>
    <row r="12" spans="2:3" ht="12.75">
      <c r="B12">
        <v>2</v>
      </c>
      <c r="C12" t="s">
        <v>145</v>
      </c>
    </row>
    <row r="13" ht="12.75">
      <c r="C13" t="s">
        <v>146</v>
      </c>
    </row>
    <row r="14" ht="12.75">
      <c r="C14" t="s">
        <v>185</v>
      </c>
    </row>
    <row r="16" spans="2:3" ht="12.75">
      <c r="B16">
        <v>3</v>
      </c>
      <c r="C16" t="s">
        <v>147</v>
      </c>
    </row>
    <row r="17" ht="12.75">
      <c r="C17" t="s">
        <v>148</v>
      </c>
    </row>
    <row r="18" ht="12.75">
      <c r="C18" t="s">
        <v>186</v>
      </c>
    </row>
    <row r="20" spans="2:3" ht="12.75">
      <c r="B20">
        <v>4</v>
      </c>
      <c r="C20" t="s">
        <v>149</v>
      </c>
    </row>
    <row r="21" ht="12.75">
      <c r="C21" t="s">
        <v>150</v>
      </c>
    </row>
    <row r="22" ht="12.75">
      <c r="C22" t="s">
        <v>187</v>
      </c>
    </row>
    <row r="23" ht="12.75">
      <c r="C23" t="s">
        <v>151</v>
      </c>
    </row>
    <row r="25" spans="2:3" ht="12.75">
      <c r="B25">
        <v>5</v>
      </c>
      <c r="C25" t="s">
        <v>152</v>
      </c>
    </row>
    <row r="26" ht="12.75">
      <c r="C26" t="s">
        <v>153</v>
      </c>
    </row>
    <row r="27" ht="12.75">
      <c r="C27" t="s">
        <v>154</v>
      </c>
    </row>
    <row r="28" ht="12.75">
      <c r="C28" t="s">
        <v>155</v>
      </c>
    </row>
    <row r="30" spans="2:3" ht="12.75">
      <c r="B30">
        <v>6</v>
      </c>
      <c r="C30" t="s">
        <v>156</v>
      </c>
    </row>
    <row r="31" ht="12.75">
      <c r="C31" t="s">
        <v>157</v>
      </c>
    </row>
    <row r="32" ht="12.75">
      <c r="C32" t="s">
        <v>188</v>
      </c>
    </row>
    <row r="34" spans="2:3" ht="12.75">
      <c r="B34">
        <v>7</v>
      </c>
      <c r="C34" t="s">
        <v>158</v>
      </c>
    </row>
    <row r="35" ht="12.75">
      <c r="C35" t="s">
        <v>159</v>
      </c>
    </row>
    <row r="36" ht="12.75">
      <c r="C36" t="s">
        <v>160</v>
      </c>
    </row>
    <row r="37" ht="12.75">
      <c r="C37" t="s">
        <v>161</v>
      </c>
    </row>
    <row r="38" ht="12.75">
      <c r="C38" t="s">
        <v>189</v>
      </c>
    </row>
    <row r="39" ht="12.75">
      <c r="C39" t="s">
        <v>190</v>
      </c>
    </row>
    <row r="41" spans="2:3" ht="12.75">
      <c r="B41">
        <v>8</v>
      </c>
      <c r="C41" t="s">
        <v>165</v>
      </c>
    </row>
    <row r="42" ht="12.75">
      <c r="C42" t="s">
        <v>166</v>
      </c>
    </row>
    <row r="43" ht="12.75">
      <c r="C43" t="s">
        <v>167</v>
      </c>
    </row>
    <row r="44" ht="12.75">
      <c r="C44" t="s">
        <v>168</v>
      </c>
    </row>
    <row r="46" spans="2:3" ht="12.75">
      <c r="B46">
        <v>9</v>
      </c>
      <c r="C46" t="s">
        <v>162</v>
      </c>
    </row>
    <row r="47" ht="12.75">
      <c r="C47" t="s">
        <v>163</v>
      </c>
    </row>
    <row r="49" spans="2:3" ht="12.75">
      <c r="B49">
        <v>10</v>
      </c>
      <c r="C49" t="s">
        <v>164</v>
      </c>
    </row>
    <row r="50" ht="12.75">
      <c r="C50" t="s">
        <v>169</v>
      </c>
    </row>
    <row r="51" ht="12.75">
      <c r="C51" t="s">
        <v>170</v>
      </c>
    </row>
    <row r="52" ht="12.75">
      <c r="C52" t="s">
        <v>178</v>
      </c>
    </row>
    <row r="53" ht="12.75">
      <c r="C53" t="s">
        <v>171</v>
      </c>
    </row>
    <row r="55" ht="12.75">
      <c r="C55" t="s">
        <v>172</v>
      </c>
    </row>
    <row r="57" ht="12.75">
      <c r="C57" t="s">
        <v>173</v>
      </c>
    </row>
    <row r="58" ht="12.75">
      <c r="C58" t="s">
        <v>174</v>
      </c>
    </row>
    <row r="59" ht="12.75">
      <c r="C59" t="s">
        <v>175</v>
      </c>
    </row>
    <row r="60" ht="12.75">
      <c r="C60" t="s">
        <v>176</v>
      </c>
    </row>
    <row r="61" ht="12.75">
      <c r="C61" t="s">
        <v>177</v>
      </c>
    </row>
    <row r="63" ht="12.75">
      <c r="C63" t="s">
        <v>179</v>
      </c>
    </row>
    <row r="64" ht="12.75">
      <c r="C64" t="s">
        <v>180</v>
      </c>
    </row>
    <row r="65" ht="12.75">
      <c r="C65" t="s">
        <v>181</v>
      </c>
    </row>
    <row r="67" ht="12.75">
      <c r="C67" t="s">
        <v>182</v>
      </c>
    </row>
    <row r="68" ht="12.75">
      <c r="C68" t="s">
        <v>183</v>
      </c>
    </row>
    <row r="69" ht="12.75">
      <c r="C69" t="s">
        <v>191</v>
      </c>
    </row>
    <row r="70" ht="12.75">
      <c r="C70" t="s">
        <v>192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3:Q39"/>
  <sheetViews>
    <sheetView workbookViewId="0" topLeftCell="A1">
      <selection activeCell="J29" sqref="J29"/>
    </sheetView>
  </sheetViews>
  <sheetFormatPr defaultColWidth="9.140625" defaultRowHeight="12.75"/>
  <sheetData>
    <row r="3" spans="1:2" ht="12.75">
      <c r="A3" t="s">
        <v>21</v>
      </c>
      <c r="B3" t="s">
        <v>39</v>
      </c>
    </row>
    <row r="4" spans="1:17" ht="12.75">
      <c r="A4" t="s">
        <v>38</v>
      </c>
      <c r="B4" t="s">
        <v>0</v>
      </c>
      <c r="C4" t="s">
        <v>1</v>
      </c>
      <c r="D4" t="s">
        <v>2</v>
      </c>
      <c r="E4" t="s">
        <v>3</v>
      </c>
      <c r="F4" t="s">
        <v>4</v>
      </c>
      <c r="G4" t="s">
        <v>5</v>
      </c>
      <c r="H4" t="s">
        <v>6</v>
      </c>
      <c r="I4" t="s">
        <v>7</v>
      </c>
      <c r="J4" t="s">
        <v>8</v>
      </c>
      <c r="K4" t="s">
        <v>9</v>
      </c>
      <c r="L4" t="s">
        <v>10</v>
      </c>
      <c r="M4" t="s">
        <v>11</v>
      </c>
      <c r="N4" t="s">
        <v>12</v>
      </c>
      <c r="O4" t="s">
        <v>13</v>
      </c>
      <c r="P4" t="s">
        <v>14</v>
      </c>
      <c r="Q4" t="s">
        <v>15</v>
      </c>
    </row>
    <row r="5" spans="1:17" ht="12.75">
      <c r="A5" t="s">
        <v>0</v>
      </c>
      <c r="B5" s="1">
        <v>0.46816374119933557</v>
      </c>
      <c r="C5" s="1">
        <v>0.4313853651523127</v>
      </c>
      <c r="D5" s="1">
        <v>0.08147817055494752</v>
      </c>
      <c r="E5" s="1">
        <v>0.015389238581667432</v>
      </c>
      <c r="F5" s="1">
        <v>0.0029066517143234534</v>
      </c>
      <c r="G5" s="1">
        <v>0.0005489955947816952</v>
      </c>
      <c r="H5" s="1">
        <v>0.00010369187391957557</v>
      </c>
      <c r="I5" s="1">
        <v>1.9584865195916133E-05</v>
      </c>
      <c r="J5" s="1">
        <v>3.699103220377713E-06</v>
      </c>
      <c r="K5" s="1">
        <v>6.986703506959981E-07</v>
      </c>
      <c r="L5" s="1">
        <v>1.3196178368569928E-07</v>
      </c>
      <c r="M5" s="1">
        <v>2.4924361412551475E-08</v>
      </c>
      <c r="N5" s="1">
        <v>4.707603838912465E-09</v>
      </c>
      <c r="O5" s="1">
        <v>8.891514764120935E-10</v>
      </c>
      <c r="P5" s="1">
        <v>1.6793899017622702E-10</v>
      </c>
      <c r="Q5" s="1">
        <v>3.9105719567475315E-11</v>
      </c>
    </row>
    <row r="6" spans="1:17" ht="12.75">
      <c r="A6" t="s">
        <v>1</v>
      </c>
      <c r="B6" s="1">
        <v>0</v>
      </c>
      <c r="C6" s="1">
        <v>0.475198500363557</v>
      </c>
      <c r="D6" s="1">
        <v>0.4092513417294203</v>
      </c>
      <c r="E6" s="1">
        <v>0.08751776254361653</v>
      </c>
      <c r="F6" s="1">
        <v>0.021009383771658303</v>
      </c>
      <c r="G6" s="1">
        <v>0.005447554763696811</v>
      </c>
      <c r="H6" s="1">
        <v>0.0004456505127138536</v>
      </c>
      <c r="I6" s="1">
        <v>0.0011102061979182155</v>
      </c>
      <c r="J6" s="1">
        <v>1.5898133425752996E-05</v>
      </c>
      <c r="K6" s="1">
        <v>3.0027695347860446E-06</v>
      </c>
      <c r="L6" s="1">
        <v>5.671499060513433E-07</v>
      </c>
      <c r="M6" s="1">
        <v>1.0712078041933515E-07</v>
      </c>
      <c r="N6" s="1">
        <v>2.0232501951018417E-08</v>
      </c>
      <c r="O6" s="1">
        <v>3.821426049344563E-09</v>
      </c>
      <c r="P6" s="1">
        <v>7.217741094048983E-10</v>
      </c>
      <c r="Q6" s="1">
        <v>1.6806980881535192E-10</v>
      </c>
    </row>
    <row r="7" spans="1:17" ht="12.75">
      <c r="A7" t="s">
        <v>2</v>
      </c>
      <c r="B7" s="1">
        <v>0</v>
      </c>
      <c r="C7" s="1">
        <v>0.00016312755511661885</v>
      </c>
      <c r="D7" s="1">
        <v>0.48855085184514774</v>
      </c>
      <c r="E7" s="1">
        <v>0.3523405992406396</v>
      </c>
      <c r="F7" s="1">
        <v>0.11142618488176093</v>
      </c>
      <c r="G7" s="1">
        <v>0.035585774008597734</v>
      </c>
      <c r="H7" s="1">
        <v>0.007513116468874089</v>
      </c>
      <c r="I7" s="1">
        <v>0.0031543169937830857</v>
      </c>
      <c r="J7" s="1">
        <v>0.0004915910694246699</v>
      </c>
      <c r="K7" s="1">
        <v>0.0007719493092991771</v>
      </c>
      <c r="L7" s="1">
        <v>2.018586364269741E-06</v>
      </c>
      <c r="M7" s="1">
        <v>3.8126171641264474E-07</v>
      </c>
      <c r="N7" s="1">
        <v>7.201103654262858E-08</v>
      </c>
      <c r="O7" s="1">
        <v>1.36011279224566E-08</v>
      </c>
      <c r="P7" s="1">
        <v>2.5689212693783737E-09</v>
      </c>
      <c r="Q7" s="1">
        <v>5.981900268758867E-10</v>
      </c>
    </row>
    <row r="8" spans="1:17" ht="12.75">
      <c r="A8" t="s">
        <v>3</v>
      </c>
      <c r="B8" s="1">
        <v>0</v>
      </c>
      <c r="C8" s="1">
        <v>0</v>
      </c>
      <c r="D8" s="1">
        <v>0.013218166583356917</v>
      </c>
      <c r="E8" s="1">
        <v>0.4382059953635947</v>
      </c>
      <c r="F8" s="1">
        <v>0.35729501174190076</v>
      </c>
      <c r="G8" s="1">
        <v>0.12672458299046352</v>
      </c>
      <c r="H8" s="1">
        <v>0.04444399849230807</v>
      </c>
      <c r="I8" s="1">
        <v>0.009884084148674803</v>
      </c>
      <c r="J8" s="1">
        <v>0.003164318682995133</v>
      </c>
      <c r="K8" s="1">
        <v>0.0032641057081419303</v>
      </c>
      <c r="L8" s="1">
        <v>0.0009803085636916572</v>
      </c>
      <c r="M8" s="1">
        <v>0.0021710252095008403</v>
      </c>
      <c r="N8" s="1">
        <v>0.0005638105966388013</v>
      </c>
      <c r="O8" s="1">
        <v>8.458112780819847E-05</v>
      </c>
      <c r="P8" s="1">
        <v>8.752782382833078E-09</v>
      </c>
      <c r="Q8" s="1">
        <v>2.0381424326542584E-09</v>
      </c>
    </row>
    <row r="9" spans="1:17" ht="12.75">
      <c r="A9" t="s">
        <v>4</v>
      </c>
      <c r="B9" s="1">
        <v>0</v>
      </c>
      <c r="C9" s="1">
        <v>0</v>
      </c>
      <c r="D9" s="1">
        <v>0.0016418285307405996</v>
      </c>
      <c r="E9" s="1">
        <v>0.03336195574464898</v>
      </c>
      <c r="F9" s="1">
        <v>0.3754720245199936</v>
      </c>
      <c r="G9" s="1">
        <v>0.38395305059990736</v>
      </c>
      <c r="H9" s="1">
        <v>0.13331811908960559</v>
      </c>
      <c r="I9" s="1">
        <v>0.04147627691602537</v>
      </c>
      <c r="J9" s="1">
        <v>0.013598269464768789</v>
      </c>
      <c r="K9" s="1">
        <v>0.009331426503416795</v>
      </c>
      <c r="L9" s="1">
        <v>0.002455817452065924</v>
      </c>
      <c r="M9" s="1">
        <v>0.004151496135777086</v>
      </c>
      <c r="N9" s="1">
        <v>0.001077963873090104</v>
      </c>
      <c r="O9" s="1">
        <v>0.0001617305158961743</v>
      </c>
      <c r="P9" s="1">
        <v>3.29755027732723E-08</v>
      </c>
      <c r="Q9" s="1">
        <v>7.678560751525467E-09</v>
      </c>
    </row>
    <row r="10" spans="1:17" ht="12.75">
      <c r="A10" t="s">
        <v>5</v>
      </c>
      <c r="B10" s="1">
        <v>0</v>
      </c>
      <c r="C10" s="1">
        <v>0</v>
      </c>
      <c r="D10" s="1">
        <v>0</v>
      </c>
      <c r="E10" s="1">
        <v>0.0026352903599765904</v>
      </c>
      <c r="F10" s="1">
        <v>0.03890928707965437</v>
      </c>
      <c r="G10" s="1">
        <v>0.37193370646513046</v>
      </c>
      <c r="H10" s="1">
        <v>0.3627521102594486</v>
      </c>
      <c r="I10" s="1">
        <v>0.14041495697473247</v>
      </c>
      <c r="J10" s="1">
        <v>0.044396115753492026</v>
      </c>
      <c r="K10" s="1">
        <v>0.013966514089055384</v>
      </c>
      <c r="L10" s="1">
        <v>0.009314181862195023</v>
      </c>
      <c r="M10" s="1">
        <v>0.012072802831779668</v>
      </c>
      <c r="N10" s="1">
        <v>0.0031345794200646525</v>
      </c>
      <c r="O10" s="1">
        <v>0.00047031265241861313</v>
      </c>
      <c r="P10" s="1">
        <v>1.1538411007057634E-07</v>
      </c>
      <c r="Q10" s="1">
        <v>2.6867942113323103E-08</v>
      </c>
    </row>
    <row r="11" spans="1:17" ht="12.75">
      <c r="A11" t="s">
        <v>6</v>
      </c>
      <c r="B11" s="1">
        <v>0</v>
      </c>
      <c r="C11" s="1">
        <v>0</v>
      </c>
      <c r="D11" s="1">
        <v>0</v>
      </c>
      <c r="E11" s="1">
        <v>0.0012666479981128444</v>
      </c>
      <c r="F11" s="1">
        <v>0.013537300479831026</v>
      </c>
      <c r="G11" s="1">
        <v>0.05256589192168304</v>
      </c>
      <c r="H11" s="1">
        <v>0.3541150415426844</v>
      </c>
      <c r="I11" s="1">
        <v>0.3533701468648851</v>
      </c>
      <c r="J11" s="1">
        <v>0.1555317652610066</v>
      </c>
      <c r="K11" s="1">
        <v>0.03650294414785811</v>
      </c>
      <c r="L11" s="1">
        <v>0.012339795012491807</v>
      </c>
      <c r="M11" s="1">
        <v>0.01599771200604854</v>
      </c>
      <c r="N11" s="1">
        <v>0.004149026431606613</v>
      </c>
      <c r="O11" s="1">
        <v>0.0006229988074960151</v>
      </c>
      <c r="P11" s="1">
        <v>5.917365770229595E-07</v>
      </c>
      <c r="Q11" s="1">
        <v>1.377897189302757E-07</v>
      </c>
    </row>
    <row r="12" spans="1:17" ht="12.75">
      <c r="A12" t="s">
        <v>7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0.011806414965751992</v>
      </c>
      <c r="H12" s="1">
        <v>0.09209003673286553</v>
      </c>
      <c r="I12" s="1">
        <v>0.3527486426771265</v>
      </c>
      <c r="J12" s="1">
        <v>0.3194063468511867</v>
      </c>
      <c r="K12" s="1">
        <v>0.14185238549316836</v>
      </c>
      <c r="L12" s="1">
        <v>0.037676543981441504</v>
      </c>
      <c r="M12" s="1">
        <v>0.03421719336392482</v>
      </c>
      <c r="N12" s="1">
        <v>0.008867904582343942</v>
      </c>
      <c r="O12" s="1">
        <v>0.0013322246378686558</v>
      </c>
      <c r="P12" s="1">
        <v>1.8710322637300327E-06</v>
      </c>
      <c r="Q12" s="1">
        <v>4.356820581100093E-07</v>
      </c>
    </row>
    <row r="13" spans="1:17" ht="12.75">
      <c r="A13" t="s">
        <v>8</v>
      </c>
      <c r="B13" s="1">
        <v>0</v>
      </c>
      <c r="C13" s="1">
        <v>0</v>
      </c>
      <c r="D13" s="1">
        <v>0</v>
      </c>
      <c r="E13" s="1">
        <v>0</v>
      </c>
      <c r="F13" s="1">
        <v>1.1134747699026189E-11</v>
      </c>
      <c r="G13" s="1">
        <v>0.00011912812572229357</v>
      </c>
      <c r="H13" s="1">
        <v>0.016241133909440212</v>
      </c>
      <c r="I13" s="1">
        <v>0.14449091197700592</v>
      </c>
      <c r="J13" s="1">
        <v>0.3205133218604714</v>
      </c>
      <c r="K13" s="1">
        <v>0.29780905058428797</v>
      </c>
      <c r="L13" s="1">
        <v>0.153284879524123</v>
      </c>
      <c r="M13" s="1">
        <v>0.05177800538701724</v>
      </c>
      <c r="N13" s="1">
        <v>0.012802518457245437</v>
      </c>
      <c r="O13" s="1">
        <v>0.002494091841903245</v>
      </c>
      <c r="P13" s="1">
        <v>0.0004030834050511632</v>
      </c>
      <c r="Q13" s="1">
        <v>6.387491659738039E-05</v>
      </c>
    </row>
    <row r="14" spans="1:17" ht="12.75">
      <c r="A14" t="s">
        <v>9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1.1151211354107932E-08</v>
      </c>
      <c r="H14" s="1">
        <v>0.00028295702175940203</v>
      </c>
      <c r="I14" s="1">
        <v>0.02034410866862481</v>
      </c>
      <c r="J14" s="1">
        <v>0.15750421687063268</v>
      </c>
      <c r="K14" s="1">
        <v>0.33608752887652865</v>
      </c>
      <c r="L14" s="1">
        <v>0.29739931733145136</v>
      </c>
      <c r="M14" s="1">
        <v>0.13877459128329922</v>
      </c>
      <c r="N14" s="1">
        <v>0.040145997902965164</v>
      </c>
      <c r="O14" s="1">
        <v>0.008070890189395847</v>
      </c>
      <c r="P14" s="1">
        <v>0.0012246026028558206</v>
      </c>
      <c r="Q14" s="1">
        <v>0.00016577810127578132</v>
      </c>
    </row>
    <row r="15" spans="1:17" ht="12.75">
      <c r="A15" t="s">
        <v>10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8.565748541878962E-21</v>
      </c>
      <c r="H15" s="1">
        <v>3.5991895037309524E-08</v>
      </c>
      <c r="I15" s="1">
        <v>0.00025300209810076585</v>
      </c>
      <c r="J15" s="1">
        <v>0.018204886797643604</v>
      </c>
      <c r="K15" s="1">
        <v>0.15893972153247132</v>
      </c>
      <c r="L15" s="1">
        <v>0.36535238162016503</v>
      </c>
      <c r="M15" s="1">
        <v>0.3092587154433477</v>
      </c>
      <c r="N15" s="1">
        <v>0.11948388820288919</v>
      </c>
      <c r="O15" s="1">
        <v>0.02496400084646339</v>
      </c>
      <c r="P15" s="1">
        <v>0.003233285537389355</v>
      </c>
      <c r="Q15" s="1">
        <v>0.0003100819296346461</v>
      </c>
    </row>
    <row r="16" spans="1:17" ht="12.75">
      <c r="A16" t="s">
        <v>11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4.189499429607882E-18</v>
      </c>
      <c r="I16" s="1">
        <v>1.205010648680972E-08</v>
      </c>
      <c r="J16" s="1">
        <v>0.00012138964414782217</v>
      </c>
      <c r="K16" s="1">
        <v>0.013955500484600076</v>
      </c>
      <c r="L16" s="1">
        <v>0.1619287064769271</v>
      </c>
      <c r="M16" s="1">
        <v>0.41213793019965944</v>
      </c>
      <c r="N16" s="1">
        <v>0.3138425468197903</v>
      </c>
      <c r="O16" s="1">
        <v>0.08686366628889099</v>
      </c>
      <c r="P16" s="1">
        <v>0.010472106765345187</v>
      </c>
      <c r="Q16" s="1">
        <v>0.0006781412705325022</v>
      </c>
    </row>
    <row r="17" spans="1:17" ht="12.75">
      <c r="A17" t="s">
        <v>12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9.167653252899105E-50</v>
      </c>
      <c r="I17" s="1">
        <v>3.771580363922591E-19</v>
      </c>
      <c r="J17" s="1">
        <v>1.0810340131575283E-09</v>
      </c>
      <c r="K17" s="1">
        <v>4.037162859267187E-05</v>
      </c>
      <c r="L17" s="1">
        <v>0.010393595412801323</v>
      </c>
      <c r="M17" s="1">
        <v>0.17426136867290123</v>
      </c>
      <c r="N17" s="1">
        <v>0.4758490850797843</v>
      </c>
      <c r="O17" s="1">
        <v>0.29108691782294016</v>
      </c>
      <c r="P17" s="1">
        <v>0.04606221253967328</v>
      </c>
      <c r="Q17" s="1">
        <v>0.0023064477622731063</v>
      </c>
    </row>
    <row r="18" spans="1:17" ht="12.75">
      <c r="A18" t="s">
        <v>13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7.783188412178076E-50</v>
      </c>
      <c r="J18" s="1">
        <v>2.1803722295664697E-23</v>
      </c>
      <c r="K18" s="1">
        <v>5.907711843776542E-12</v>
      </c>
      <c r="L18" s="1">
        <v>4.932884101653588E-06</v>
      </c>
      <c r="M18" s="1">
        <v>0.006414719604357625</v>
      </c>
      <c r="N18" s="1">
        <v>0.20315133225761126</v>
      </c>
      <c r="O18" s="1">
        <v>0.5647932099100994</v>
      </c>
      <c r="P18" s="1">
        <v>0.213154709817419</v>
      </c>
      <c r="Q18" s="1">
        <v>0.012481095520503497</v>
      </c>
    </row>
    <row r="19" spans="1:17" ht="12.75">
      <c r="A19" t="s">
        <v>14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1.880133527312778E-125</v>
      </c>
      <c r="J19" s="1">
        <v>2.5162174093677564E-49</v>
      </c>
      <c r="K19" s="1">
        <v>4.339348664536167E-25</v>
      </c>
      <c r="L19" s="1">
        <v>5.78252971576295E-13</v>
      </c>
      <c r="M19" s="1">
        <v>2.3130682061884886E-06</v>
      </c>
      <c r="N19" s="1">
        <v>0.007110507153651689</v>
      </c>
      <c r="O19" s="1">
        <v>0.2666699510971417</v>
      </c>
      <c r="P19" s="1">
        <v>0.578713261623879</v>
      </c>
      <c r="Q19" s="1">
        <v>0.1475039670565431</v>
      </c>
    </row>
    <row r="20" spans="1:17" ht="12.75">
      <c r="A20" t="s">
        <v>15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2.3201712909387066E-85</v>
      </c>
      <c r="K20" s="1">
        <v>8.492238009025036E-42</v>
      </c>
      <c r="L20" s="1">
        <v>2.5650278334286527E-22</v>
      </c>
      <c r="M20" s="1">
        <v>1.0224651627127381E-11</v>
      </c>
      <c r="N20" s="1">
        <v>9.56614058977491E-06</v>
      </c>
      <c r="O20" s="1">
        <v>0.014352518696483614</v>
      </c>
      <c r="P20" s="1">
        <v>0.35001221232705315</v>
      </c>
      <c r="Q20" s="1">
        <v>0.6356257028256489</v>
      </c>
    </row>
    <row r="22" spans="1:2" ht="12.75">
      <c r="A22" t="s">
        <v>20</v>
      </c>
      <c r="B22" t="s">
        <v>40</v>
      </c>
    </row>
    <row r="23" spans="1:17" ht="12.75">
      <c r="A23" t="s">
        <v>38</v>
      </c>
      <c r="B23" t="s">
        <v>0</v>
      </c>
      <c r="C23" t="s">
        <v>1</v>
      </c>
      <c r="D23" t="s">
        <v>2</v>
      </c>
      <c r="E23" t="s">
        <v>3</v>
      </c>
      <c r="F23" t="s">
        <v>4</v>
      </c>
      <c r="G23" t="s">
        <v>5</v>
      </c>
      <c r="H23" t="s">
        <v>6</v>
      </c>
      <c r="I23" t="s">
        <v>7</v>
      </c>
      <c r="J23" t="s">
        <v>8</v>
      </c>
      <c r="K23" t="s">
        <v>9</v>
      </c>
      <c r="L23" t="s">
        <v>10</v>
      </c>
      <c r="M23" t="s">
        <v>11</v>
      </c>
      <c r="N23" t="s">
        <v>12</v>
      </c>
      <c r="O23" t="s">
        <v>13</v>
      </c>
      <c r="P23" t="s">
        <v>14</v>
      </c>
      <c r="Q23" t="s">
        <v>15</v>
      </c>
    </row>
    <row r="24" spans="1:17" ht="12.75">
      <c r="A24" t="s">
        <v>0</v>
      </c>
      <c r="B24" s="1">
        <v>1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</row>
    <row r="25" spans="1:17" ht="12.75">
      <c r="A25" t="s">
        <v>1</v>
      </c>
      <c r="B25" s="1">
        <v>0.10760485057025501</v>
      </c>
      <c r="C25" s="1">
        <v>0.8918391128415758</v>
      </c>
      <c r="D25" s="1">
        <v>0.0005560365881691551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</row>
    <row r="26" spans="1:17" ht="12.75">
      <c r="A26" t="s">
        <v>2</v>
      </c>
      <c r="B26" s="1">
        <v>0.008121536941133671</v>
      </c>
      <c r="C26" s="1">
        <v>0.3069248690153819</v>
      </c>
      <c r="D26" s="1">
        <v>0.6654513817186282</v>
      </c>
      <c r="E26" s="1">
        <v>0.017607452465358275</v>
      </c>
      <c r="F26" s="1">
        <v>0.0018947598594978858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</row>
    <row r="27" spans="1:17" ht="12.75">
      <c r="A27" t="s">
        <v>3</v>
      </c>
      <c r="B27" s="1">
        <v>0.0013082851814220449</v>
      </c>
      <c r="C27" s="1">
        <v>0.0559791768504461</v>
      </c>
      <c r="D27" s="1">
        <v>0.40931492394516195</v>
      </c>
      <c r="E27" s="1">
        <v>0.4978424825557989</v>
      </c>
      <c r="F27" s="1">
        <v>0.032837207248504835</v>
      </c>
      <c r="G27" s="1">
        <v>0.0019449119780387872</v>
      </c>
      <c r="H27" s="1">
        <v>0.000773012240627462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</row>
    <row r="28" spans="1:17" ht="12.75">
      <c r="A28" t="s">
        <v>4</v>
      </c>
      <c r="B28" s="1">
        <v>0.00025858606826903533</v>
      </c>
      <c r="C28" s="1">
        <v>0.014062756384373746</v>
      </c>
      <c r="D28" s="1">
        <v>0.13545935055414066</v>
      </c>
      <c r="E28" s="1">
        <v>0.4247832942540617</v>
      </c>
      <c r="F28" s="1">
        <v>0.3867400361548415</v>
      </c>
      <c r="G28" s="1">
        <v>0.03005049209245412</v>
      </c>
      <c r="H28" s="1">
        <v>0.008645484486738629</v>
      </c>
      <c r="I28" s="1">
        <v>0</v>
      </c>
      <c r="J28" s="1">
        <v>5.120683353081406E-12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</row>
    <row r="29" spans="1:17" ht="12.75">
      <c r="A29" t="s">
        <v>5</v>
      </c>
      <c r="B29" s="1">
        <v>5.305655655637608E-05</v>
      </c>
      <c r="C29" s="1">
        <v>0.003961109223780927</v>
      </c>
      <c r="D29" s="1">
        <v>0.04699549392190652</v>
      </c>
      <c r="E29" s="1">
        <v>0.16366635872933707</v>
      </c>
      <c r="F29" s="1">
        <v>0.42961332741553643</v>
      </c>
      <c r="G29" s="1">
        <v>0.3120483759621355</v>
      </c>
      <c r="H29" s="1">
        <v>0.03646862412327288</v>
      </c>
      <c r="I29" s="1">
        <v>0.007134135379886506</v>
      </c>
      <c r="J29" s="1">
        <v>5.951410724440094E-05</v>
      </c>
      <c r="K29" s="1">
        <v>4.580343320395404E-09</v>
      </c>
      <c r="L29" s="1">
        <v>1.9910524522796993E-21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</row>
    <row r="30" spans="1:17" ht="12.75">
      <c r="A30" t="s">
        <v>6</v>
      </c>
      <c r="B30" s="1">
        <v>1.2063075624134643E-05</v>
      </c>
      <c r="C30" s="1">
        <v>0.00039007916130403414</v>
      </c>
      <c r="D30" s="1">
        <v>0.011943814509343112</v>
      </c>
      <c r="E30" s="1">
        <v>0.06909630130462038</v>
      </c>
      <c r="F30" s="1">
        <v>0.17956923295933927</v>
      </c>
      <c r="G30" s="1">
        <v>0.3663611915814918</v>
      </c>
      <c r="H30" s="1">
        <v>0.29573507904065466</v>
      </c>
      <c r="I30" s="1">
        <v>0.06698523353217341</v>
      </c>
      <c r="J30" s="1">
        <v>0.00976708771862731</v>
      </c>
      <c r="K30" s="1">
        <v>0.00013990704599299193</v>
      </c>
      <c r="L30" s="1">
        <v>1.007082897086875E-08</v>
      </c>
      <c r="M30" s="1">
        <v>9.171595698828967E-19</v>
      </c>
      <c r="N30" s="1">
        <v>1.0900998094379073E-50</v>
      </c>
      <c r="O30" s="1">
        <v>0</v>
      </c>
      <c r="P30" s="1">
        <v>0</v>
      </c>
      <c r="Q30" s="1">
        <v>0</v>
      </c>
    </row>
    <row r="31" spans="1:17" ht="12.75">
      <c r="A31" t="s">
        <v>7</v>
      </c>
      <c r="B31" s="1">
        <v>2.6256511329366667E-06</v>
      </c>
      <c r="C31" s="1">
        <v>0.0011198635125220923</v>
      </c>
      <c r="D31" s="1">
        <v>0.005778716274917005</v>
      </c>
      <c r="E31" s="1">
        <v>0.017708477247899854</v>
      </c>
      <c r="F31" s="1">
        <v>0.06437920695099271</v>
      </c>
      <c r="G31" s="1">
        <v>0.16342405939147694</v>
      </c>
      <c r="H31" s="1">
        <v>0.34008809706464943</v>
      </c>
      <c r="I31" s="1">
        <v>0.29568880927107616</v>
      </c>
      <c r="J31" s="1">
        <v>0.10013649375475606</v>
      </c>
      <c r="K31" s="1">
        <v>0.011592067082383174</v>
      </c>
      <c r="L31" s="1">
        <v>8.158075817136642E-05</v>
      </c>
      <c r="M31" s="1">
        <v>3.0400222244922264E-09</v>
      </c>
      <c r="N31" s="1">
        <v>5.168143436111806E-20</v>
      </c>
      <c r="O31" s="1">
        <v>2.4657661770874383E-51</v>
      </c>
      <c r="P31" s="1">
        <v>5.505533621004121E-128</v>
      </c>
      <c r="Q31" s="1">
        <v>0</v>
      </c>
    </row>
    <row r="32" spans="1:17" ht="12.75">
      <c r="A32" t="s">
        <v>8</v>
      </c>
      <c r="B32" s="1">
        <v>6.088195856580604E-07</v>
      </c>
      <c r="C32" s="1">
        <v>1.968717106302369E-05</v>
      </c>
      <c r="D32" s="1">
        <v>0.0011056196558825256</v>
      </c>
      <c r="E32" s="1">
        <v>0.006959863616779988</v>
      </c>
      <c r="F32" s="1">
        <v>0.025912256286023425</v>
      </c>
      <c r="G32" s="1">
        <v>0.06343417969601915</v>
      </c>
      <c r="H32" s="1">
        <v>0.18376229519541185</v>
      </c>
      <c r="I32" s="1">
        <v>0.3286917540615068</v>
      </c>
      <c r="J32" s="1">
        <v>0.2726927954689371</v>
      </c>
      <c r="K32" s="1">
        <v>0.11017679498186679</v>
      </c>
      <c r="L32" s="1">
        <v>0.007206548726433436</v>
      </c>
      <c r="M32" s="1">
        <v>3.7596138634773214E-05</v>
      </c>
      <c r="N32" s="1">
        <v>1.8185543347202338E-10</v>
      </c>
      <c r="O32" s="1">
        <v>8.480095038661757E-25</v>
      </c>
      <c r="P32" s="1">
        <v>9.045542495166567E-52</v>
      </c>
      <c r="Q32" s="1">
        <v>2.622491416722216E-89</v>
      </c>
    </row>
    <row r="33" spans="1:17" ht="12.75">
      <c r="A33" t="s">
        <v>9</v>
      </c>
      <c r="B33" s="1">
        <v>1.452857751066147E-07</v>
      </c>
      <c r="C33" s="1">
        <v>4.698051729901097E-06</v>
      </c>
      <c r="D33" s="1">
        <v>0.002193558218970787</v>
      </c>
      <c r="E33" s="1">
        <v>0.009070753080282677</v>
      </c>
      <c r="F33" s="1">
        <v>0.022466128744133142</v>
      </c>
      <c r="G33" s="1">
        <v>0.025213027233635454</v>
      </c>
      <c r="H33" s="1">
        <v>0.05449087921398751</v>
      </c>
      <c r="I33" s="1">
        <v>0.18443380535921955</v>
      </c>
      <c r="J33" s="1">
        <v>0.32012831362729927</v>
      </c>
      <c r="K33" s="1">
        <v>0.2970359142828246</v>
      </c>
      <c r="L33" s="1">
        <v>0.07949327845905524</v>
      </c>
      <c r="M33" s="1">
        <v>0.00546091776078151</v>
      </c>
      <c r="N33" s="1">
        <v>8.580682014747074E-06</v>
      </c>
      <c r="O33" s="1">
        <v>2.9030064280883517E-13</v>
      </c>
      <c r="P33" s="1">
        <v>1.970922821724829E-27</v>
      </c>
      <c r="Q33" s="1">
        <v>1.2127598211265311E-45</v>
      </c>
    </row>
    <row r="34" spans="1:17" ht="12.75">
      <c r="A34" t="s">
        <v>10</v>
      </c>
      <c r="B34" s="1">
        <v>3.569394093315563E-08</v>
      </c>
      <c r="C34" s="1">
        <v>1.1542216077524306E-06</v>
      </c>
      <c r="D34" s="1">
        <v>7.461106859691767E-06</v>
      </c>
      <c r="E34" s="1">
        <v>0.0035435410557947853</v>
      </c>
      <c r="F34" s="1">
        <v>0.007690805482242867</v>
      </c>
      <c r="G34" s="1">
        <v>0.02187143230873747</v>
      </c>
      <c r="H34" s="1">
        <v>0.02396069489556114</v>
      </c>
      <c r="I34" s="1">
        <v>0.06371922492891169</v>
      </c>
      <c r="J34" s="1">
        <v>0.21432905742631436</v>
      </c>
      <c r="K34" s="1">
        <v>0.3418944687328313</v>
      </c>
      <c r="L34" s="1">
        <v>0.2376870091158129</v>
      </c>
      <c r="M34" s="1">
        <v>0.08242132826743957</v>
      </c>
      <c r="N34" s="1">
        <v>0.0028734714630875915</v>
      </c>
      <c r="O34" s="1">
        <v>3.1530085453893096E-07</v>
      </c>
      <c r="P34" s="1">
        <v>3.416319556461625E-15</v>
      </c>
      <c r="Q34" s="1">
        <v>4.764751629444074E-26</v>
      </c>
    </row>
    <row r="35" spans="1:17" ht="12.75">
      <c r="A35" t="s">
        <v>11</v>
      </c>
      <c r="B35" s="1">
        <v>8.12621173238564E-09</v>
      </c>
      <c r="C35" s="1">
        <v>2.627742675376133E-07</v>
      </c>
      <c r="D35" s="1">
        <v>1.6986225838645305E-06</v>
      </c>
      <c r="E35" s="1">
        <v>0.009459263187714052</v>
      </c>
      <c r="F35" s="1">
        <v>0.015671052091740877</v>
      </c>
      <c r="G35" s="1">
        <v>0.03417105518353735</v>
      </c>
      <c r="H35" s="1">
        <v>0.03744269570075731</v>
      </c>
      <c r="I35" s="1">
        <v>0.06975278947864962</v>
      </c>
      <c r="J35" s="1">
        <v>0.08726595059436519</v>
      </c>
      <c r="K35" s="1">
        <v>0.19230024373387203</v>
      </c>
      <c r="L35" s="1">
        <v>0.24251199319289235</v>
      </c>
      <c r="M35" s="1">
        <v>0.25285766230711887</v>
      </c>
      <c r="N35" s="1">
        <v>0.05807108925404604</v>
      </c>
      <c r="O35" s="1">
        <v>0.0004942192802222553</v>
      </c>
      <c r="P35" s="1">
        <v>1.6472018572528696E-08</v>
      </c>
      <c r="Q35" s="1">
        <v>2.2893620281149678E-15</v>
      </c>
    </row>
    <row r="36" spans="1:17" ht="12.75">
      <c r="A36" t="s">
        <v>12</v>
      </c>
      <c r="B36" s="1">
        <v>2.642109913425349E-09</v>
      </c>
      <c r="C36" s="1">
        <v>8.543691840085971E-08</v>
      </c>
      <c r="D36" s="1">
        <v>5.522804065967528E-07</v>
      </c>
      <c r="E36" s="1">
        <v>0.004228755300518593</v>
      </c>
      <c r="F36" s="1">
        <v>0.007004620337926947</v>
      </c>
      <c r="G36" s="1">
        <v>0.015272721701974261</v>
      </c>
      <c r="H36" s="1">
        <v>0.016716383041347625</v>
      </c>
      <c r="I36" s="1">
        <v>0.03111896083433849</v>
      </c>
      <c r="J36" s="1">
        <v>0.03714341207972995</v>
      </c>
      <c r="K36" s="1">
        <v>0.09576328022666374</v>
      </c>
      <c r="L36" s="1">
        <v>0.1612900210799598</v>
      </c>
      <c r="M36" s="1">
        <v>0.33146084308306906</v>
      </c>
      <c r="N36" s="1">
        <v>0.27297003070414255</v>
      </c>
      <c r="O36" s="1">
        <v>0.02694316181998852</v>
      </c>
      <c r="P36" s="1">
        <v>8.716574376579541E-05</v>
      </c>
      <c r="Q36" s="1">
        <v>3.687139704349832E-09</v>
      </c>
    </row>
    <row r="37" spans="1:17" ht="12.75">
      <c r="A37" t="s">
        <v>13</v>
      </c>
      <c r="B37" s="1">
        <v>1.222360633865872E-09</v>
      </c>
      <c r="C37" s="1">
        <v>3.9527019965050865E-08</v>
      </c>
      <c r="D37" s="1">
        <v>2.555101328130348E-07</v>
      </c>
      <c r="E37" s="1">
        <v>0.0015539084261206126</v>
      </c>
      <c r="F37" s="1">
        <v>0.002574216059208536</v>
      </c>
      <c r="G37" s="1">
        <v>0.00561301821265137</v>
      </c>
      <c r="H37" s="1">
        <v>0.0061483128317525275</v>
      </c>
      <c r="I37" s="1">
        <v>0.011451283441997756</v>
      </c>
      <c r="J37" s="1">
        <v>0.01772439648954324</v>
      </c>
      <c r="K37" s="1">
        <v>0.04715750542922553</v>
      </c>
      <c r="L37" s="1">
        <v>0.08254389712829949</v>
      </c>
      <c r="M37" s="1">
        <v>0.22471455130173365</v>
      </c>
      <c r="N37" s="1">
        <v>0.40901670556840825</v>
      </c>
      <c r="O37" s="1">
        <v>0.18348095012852145</v>
      </c>
      <c r="P37" s="1">
        <v>0.008007408277205728</v>
      </c>
      <c r="Q37" s="1">
        <v>1.3550445818384361E-05</v>
      </c>
    </row>
    <row r="38" spans="1:17" ht="12.75">
      <c r="A38" t="s">
        <v>14</v>
      </c>
      <c r="B38" s="1">
        <v>1.1572429797830138E-09</v>
      </c>
      <c r="C38" s="1">
        <v>3.7421339523650763E-08</v>
      </c>
      <c r="D38" s="1">
        <v>2.418986325628121E-07</v>
      </c>
      <c r="E38" s="1">
        <v>8.060231161698984E-07</v>
      </c>
      <c r="F38" s="1">
        <v>2.6308365433940062E-06</v>
      </c>
      <c r="G38" s="1">
        <v>6.902480847255379E-06</v>
      </c>
      <c r="H38" s="1">
        <v>2.927160748641549E-05</v>
      </c>
      <c r="I38" s="1">
        <v>8.061342924982913E-05</v>
      </c>
      <c r="J38" s="1">
        <v>0.014358310796656773</v>
      </c>
      <c r="K38" s="1">
        <v>0.03586525967275491</v>
      </c>
      <c r="L38" s="1">
        <v>0.05358759380083963</v>
      </c>
      <c r="M38" s="1">
        <v>0.13579272944306933</v>
      </c>
      <c r="N38" s="1">
        <v>0.32442369780127855</v>
      </c>
      <c r="O38" s="1">
        <v>0.3470930063749425</v>
      </c>
      <c r="P38" s="1">
        <v>0.08710252450693226</v>
      </c>
      <c r="Q38" s="1">
        <v>0.0016563727490679723</v>
      </c>
    </row>
    <row r="39" spans="1:17" ht="12.75">
      <c r="A39" t="s">
        <v>15</v>
      </c>
      <c r="B39" s="1">
        <v>3.251795269285825E-09</v>
      </c>
      <c r="C39" s="1">
        <v>1.0515202283593086E-07</v>
      </c>
      <c r="D39" s="1">
        <v>6.797225575671129E-07</v>
      </c>
      <c r="E39" s="1">
        <v>2.2648831094619537E-06</v>
      </c>
      <c r="F39" s="1">
        <v>7.392514081026337E-06</v>
      </c>
      <c r="G39" s="1">
        <v>1.9395612786228644E-05</v>
      </c>
      <c r="H39" s="1">
        <v>8.225169716858683E-05</v>
      </c>
      <c r="I39" s="1">
        <v>0.0002265195505114709</v>
      </c>
      <c r="J39" s="1">
        <v>0.02745672115237968</v>
      </c>
      <c r="K39" s="1">
        <v>0.05858896936922856</v>
      </c>
      <c r="L39" s="1">
        <v>0.06201639981990472</v>
      </c>
      <c r="M39" s="1">
        <v>0.10611396145719157</v>
      </c>
      <c r="N39" s="1">
        <v>0.1960294376197046</v>
      </c>
      <c r="O39" s="1">
        <v>0.24525255064899362</v>
      </c>
      <c r="P39" s="1">
        <v>0.26790505257860714</v>
      </c>
      <c r="Q39" s="1">
        <v>0.03629829496995765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DF95"/>
  <sheetViews>
    <sheetView workbookViewId="0" topLeftCell="A1">
      <selection activeCell="BS2" sqref="BS2"/>
    </sheetView>
  </sheetViews>
  <sheetFormatPr defaultColWidth="9.140625" defaultRowHeight="12.75"/>
  <sheetData>
    <row r="2" spans="2:88" ht="12.75">
      <c r="B2" t="s">
        <v>44</v>
      </c>
      <c r="BS2" t="s">
        <v>92</v>
      </c>
      <c r="BW2" t="s">
        <v>84</v>
      </c>
      <c r="CA2" t="s">
        <v>90</v>
      </c>
      <c r="CF2" t="s">
        <v>93</v>
      </c>
      <c r="CJ2" t="s">
        <v>94</v>
      </c>
    </row>
    <row r="3" spans="72:90" ht="12.75">
      <c r="BT3" t="s">
        <v>20</v>
      </c>
      <c r="BU3" t="s">
        <v>21</v>
      </c>
      <c r="BX3" t="s">
        <v>87</v>
      </c>
      <c r="BY3" t="s">
        <v>88</v>
      </c>
      <c r="CB3" t="s">
        <v>87</v>
      </c>
      <c r="CC3" t="s">
        <v>88</v>
      </c>
      <c r="CG3" t="s">
        <v>87</v>
      </c>
      <c r="CH3" t="s">
        <v>88</v>
      </c>
      <c r="CK3" t="s">
        <v>87</v>
      </c>
      <c r="CL3" t="s">
        <v>88</v>
      </c>
    </row>
    <row r="4" spans="8:90" ht="12.75">
      <c r="H4" t="s">
        <v>20</v>
      </c>
      <c r="I4" t="s">
        <v>21</v>
      </c>
      <c r="BS4" t="s">
        <v>82</v>
      </c>
      <c r="BT4">
        <f>SUM(BF15:BF30)+2*SUM(BH15:BH30)+SUM(BP15:BP30)</f>
        <v>3494006.861219693</v>
      </c>
      <c r="BU4">
        <f>SUM(BG15:BG30)+2*SUM(BI15:BI30)+SUM(BQ15:BQ30)</f>
        <v>2235289.984314495</v>
      </c>
      <c r="BW4" t="s">
        <v>85</v>
      </c>
      <c r="BX4">
        <f>(1-Assortativeness)+Assortativeness*BU4/(BU4+BU5)</f>
        <v>0.7172801602855472</v>
      </c>
      <c r="BY4">
        <f>1-BX4</f>
        <v>0.2827198397144528</v>
      </c>
      <c r="CA4" t="s">
        <v>85</v>
      </c>
      <c r="CB4">
        <f>(1-GenderEquality)*BT4*BX4+GenderEquality*BU4*BX9</f>
        <v>2197637.7006783104</v>
      </c>
      <c r="CC4">
        <f>(1-GenderEquality)*BT4*BY4+GenderEquality*BU5*BX10</f>
        <v>955578.225745541</v>
      </c>
      <c r="CF4" t="s">
        <v>85</v>
      </c>
      <c r="CG4" s="6">
        <f>H5*((1-Assortativeness)+Assortativeness*I5)</f>
        <v>0.20299999999999999</v>
      </c>
      <c r="CH4" s="6">
        <f>H5-CG4</f>
        <v>0.147</v>
      </c>
      <c r="CJ4" t="s">
        <v>85</v>
      </c>
      <c r="CK4">
        <f>(1-GenderEquality)*CG4+GenderEquality*CG9</f>
        <v>0.181</v>
      </c>
      <c r="CL4">
        <f>(1-GenderEquality)*CH4+GenderEquality*CG10</f>
        <v>0.14700000000000002</v>
      </c>
    </row>
    <row r="5" spans="2:90" ht="12.75">
      <c r="B5" t="s">
        <v>45</v>
      </c>
      <c r="H5" s="10">
        <v>0.35</v>
      </c>
      <c r="I5" s="10">
        <v>0.25</v>
      </c>
      <c r="BS5" t="s">
        <v>83</v>
      </c>
      <c r="BT5">
        <f>SUM(BL15:BL30)</f>
        <v>1335753.0355357707</v>
      </c>
      <c r="BU5">
        <f>SUM(BM15:BM30)</f>
        <v>2279141.8810127373</v>
      </c>
      <c r="BW5" t="s">
        <v>86</v>
      </c>
      <c r="BX5">
        <f>1-BY5</f>
        <v>0.27728016028554736</v>
      </c>
      <c r="BY5">
        <f>(1-Assortativeness)+Assortativeness*BU5/(BU5+BU4)</f>
        <v>0.7227198397144526</v>
      </c>
      <c r="CA5" t="s">
        <v>86</v>
      </c>
      <c r="CB5">
        <f>(1-GenderEquality)*BT5*BX5+GenderEquality*BU4*BY9</f>
        <v>358287.10010380106</v>
      </c>
      <c r="CC5">
        <f>(1-GenderEquality)*BT5*BY5+GenderEquality*BU5*BY10</f>
        <v>1160592.8545136955</v>
      </c>
      <c r="CF5" t="s">
        <v>86</v>
      </c>
      <c r="CG5" s="6">
        <f>(1-H5)-CH5</f>
        <v>0.09099999999999997</v>
      </c>
      <c r="CH5" s="6">
        <f>(1-H5)*((1-Assortativeness)+Assortativeness*(1-I5))</f>
        <v>0.559</v>
      </c>
      <c r="CJ5" t="s">
        <v>86</v>
      </c>
      <c r="CK5">
        <f>(1-GenderEquality)*CG5+GenderEquality*CH9</f>
        <v>0.091</v>
      </c>
      <c r="CL5">
        <f>(1-GenderEquality)*CH5+GenderEquality*CH10</f>
        <v>0.581</v>
      </c>
    </row>
    <row r="6" spans="2:9" ht="12.75">
      <c r="B6" t="s">
        <v>46</v>
      </c>
      <c r="H6" s="11">
        <v>0.01</v>
      </c>
      <c r="I6" s="11">
        <v>0.05</v>
      </c>
    </row>
    <row r="7" spans="2:88" ht="12.75">
      <c r="B7" t="s">
        <v>47</v>
      </c>
      <c r="H7" s="11">
        <v>0.27</v>
      </c>
      <c r="I7" s="11">
        <v>0.52</v>
      </c>
      <c r="BW7" t="s">
        <v>84</v>
      </c>
      <c r="CA7" t="s">
        <v>91</v>
      </c>
      <c r="CF7" t="s">
        <v>93</v>
      </c>
      <c r="CJ7" t="s">
        <v>95</v>
      </c>
    </row>
    <row r="8" spans="2:90" ht="12.75">
      <c r="B8" t="s">
        <v>48</v>
      </c>
      <c r="H8" s="11">
        <v>0.82</v>
      </c>
      <c r="I8" s="11">
        <v>0.91</v>
      </c>
      <c r="BX8" t="s">
        <v>85</v>
      </c>
      <c r="BY8" t="s">
        <v>86</v>
      </c>
      <c r="CB8" t="s">
        <v>20</v>
      </c>
      <c r="CC8" t="s">
        <v>21</v>
      </c>
      <c r="CG8" t="s">
        <v>85</v>
      </c>
      <c r="CH8" t="s">
        <v>86</v>
      </c>
      <c r="CK8" t="s">
        <v>20</v>
      </c>
      <c r="CL8" t="s">
        <v>21</v>
      </c>
    </row>
    <row r="9" spans="2:90" ht="12.75">
      <c r="B9" t="s">
        <v>49</v>
      </c>
      <c r="H9" s="11">
        <v>1</v>
      </c>
      <c r="I9" s="11">
        <v>1</v>
      </c>
      <c r="BW9" t="s">
        <v>87</v>
      </c>
      <c r="BX9">
        <f>(1-Assortativeness)+Assortativeness*BT4/(BT4+BT5)</f>
        <v>0.8451223837436437</v>
      </c>
      <c r="BY9">
        <f>1-BX9</f>
        <v>0.15487761625635632</v>
      </c>
      <c r="CA9" t="s">
        <v>82</v>
      </c>
      <c r="CB9">
        <f>CB4/(CB4+CC4)</f>
        <v>0.6969512243871961</v>
      </c>
      <c r="CC9">
        <f>CB4/(CB4+CB5)</f>
        <v>0.8598209540460011</v>
      </c>
      <c r="CF9" t="s">
        <v>87</v>
      </c>
      <c r="CG9" s="6">
        <f>I5*((1-Assortativeness)+Assortativeness*H5)</f>
        <v>0.15899999999999997</v>
      </c>
      <c r="CH9" s="6">
        <f>I5-CG9</f>
        <v>0.09100000000000003</v>
      </c>
      <c r="CJ9" t="s">
        <v>82</v>
      </c>
      <c r="CK9">
        <f>CK4/(CK4+CL4)</f>
        <v>0.5518292682926829</v>
      </c>
      <c r="CL9">
        <f>CK4/(CK4+CK5)</f>
        <v>0.6654411764705882</v>
      </c>
    </row>
    <row r="10" spans="2:90" ht="12.75">
      <c r="B10" t="s">
        <v>50</v>
      </c>
      <c r="H10" s="11">
        <v>0.5</v>
      </c>
      <c r="I10" s="11">
        <v>0.5</v>
      </c>
      <c r="BW10" t="s">
        <v>88</v>
      </c>
      <c r="BX10">
        <f>1-BY10</f>
        <v>0.40512238374364373</v>
      </c>
      <c r="BY10">
        <f>(1-Assortativeness)+Assortativeness*BT5/(BT4+BT5)</f>
        <v>0.5948776162563563</v>
      </c>
      <c r="CA10" t="s">
        <v>83</v>
      </c>
      <c r="CB10">
        <f>CB5/(CB5+CC5)</f>
        <v>0.23588901743984725</v>
      </c>
      <c r="CC10">
        <f>CC4/(CC4+CC5)</f>
        <v>0.45156000602204627</v>
      </c>
      <c r="CF10" t="s">
        <v>88</v>
      </c>
      <c r="CG10" s="6">
        <f>(1-I5)-CH10</f>
        <v>0.14700000000000002</v>
      </c>
      <c r="CH10" s="6">
        <f>(1-I5)*((1-Assortativeness)+Assortativeness*(1-H5))</f>
        <v>0.603</v>
      </c>
      <c r="CJ10" t="s">
        <v>83</v>
      </c>
      <c r="CK10">
        <f>CK5/(CK5+CL5)</f>
        <v>0.13541666666666669</v>
      </c>
      <c r="CL10">
        <f>CL4/(CL4+CL5)</f>
        <v>0.20192307692307696</v>
      </c>
    </row>
    <row r="11" spans="13:99" ht="12.75">
      <c r="M11" t="s">
        <v>69</v>
      </c>
      <c r="AE11" t="s">
        <v>80</v>
      </c>
      <c r="AM11" t="s">
        <v>69</v>
      </c>
      <c r="BD11" t="s">
        <v>70</v>
      </c>
      <c r="BS11" t="s">
        <v>123</v>
      </c>
      <c r="CU11" t="s">
        <v>140</v>
      </c>
    </row>
    <row r="12" spans="3:110" ht="12.75">
      <c r="C12" s="2" t="s">
        <v>51</v>
      </c>
      <c r="D12" s="2"/>
      <c r="E12" s="2" t="s">
        <v>52</v>
      </c>
      <c r="F12" s="2"/>
      <c r="G12" s="2" t="s">
        <v>55</v>
      </c>
      <c r="H12" s="2"/>
      <c r="I12" s="2" t="s">
        <v>53</v>
      </c>
      <c r="J12" s="2"/>
      <c r="K12" s="2" t="s">
        <v>52</v>
      </c>
      <c r="L12" s="2"/>
      <c r="M12" s="3" t="s">
        <v>56</v>
      </c>
      <c r="N12" s="3"/>
      <c r="O12" s="3" t="s">
        <v>57</v>
      </c>
      <c r="P12" s="3"/>
      <c r="Q12" s="3" t="s">
        <v>52</v>
      </c>
      <c r="R12" s="3"/>
      <c r="S12" s="3" t="s">
        <v>52</v>
      </c>
      <c r="T12" s="3"/>
      <c r="U12" s="3" t="s">
        <v>58</v>
      </c>
      <c r="V12" s="3"/>
      <c r="W12" s="3" t="s">
        <v>59</v>
      </c>
      <c r="X12" s="3"/>
      <c r="Y12" s="3" t="s">
        <v>52</v>
      </c>
      <c r="Z12" s="3"/>
      <c r="AA12" s="3" t="s">
        <v>52</v>
      </c>
      <c r="AB12" s="3"/>
      <c r="AE12" s="2" t="s">
        <v>51</v>
      </c>
      <c r="AF12" s="2"/>
      <c r="AG12" s="2" t="s">
        <v>52</v>
      </c>
      <c r="AH12" s="2"/>
      <c r="AI12" s="2" t="s">
        <v>53</v>
      </c>
      <c r="AJ12" s="2"/>
      <c r="AK12" s="2" t="s">
        <v>52</v>
      </c>
      <c r="AL12" s="2"/>
      <c r="AM12" s="3" t="s">
        <v>56</v>
      </c>
      <c r="AN12" s="3"/>
      <c r="AO12" s="3" t="s">
        <v>57</v>
      </c>
      <c r="AP12" s="3"/>
      <c r="AQ12" s="3" t="s">
        <v>52</v>
      </c>
      <c r="AR12" s="3"/>
      <c r="AS12" s="3" t="s">
        <v>52</v>
      </c>
      <c r="AT12" s="3"/>
      <c r="AU12" s="3" t="s">
        <v>58</v>
      </c>
      <c r="AV12" s="3"/>
      <c r="AW12" s="3" t="s">
        <v>59</v>
      </c>
      <c r="AX12" s="3"/>
      <c r="AY12" s="3" t="s">
        <v>52</v>
      </c>
      <c r="AZ12" s="3"/>
      <c r="BA12" s="3" t="s">
        <v>52</v>
      </c>
      <c r="BB12" s="3"/>
      <c r="BD12" s="5" t="s">
        <v>71</v>
      </c>
      <c r="BE12" s="5"/>
      <c r="BF12" s="5" t="s">
        <v>74</v>
      </c>
      <c r="BG12" s="5"/>
      <c r="BH12" s="5" t="s">
        <v>75</v>
      </c>
      <c r="BI12" s="5"/>
      <c r="BJ12" s="5" t="s">
        <v>71</v>
      </c>
      <c r="BK12" s="5"/>
      <c r="BL12" s="5" t="s">
        <v>74</v>
      </c>
      <c r="BM12" s="5"/>
      <c r="BN12" s="5" t="s">
        <v>78</v>
      </c>
      <c r="BO12" s="5"/>
      <c r="BP12" s="5" t="s">
        <v>79</v>
      </c>
      <c r="BQ12" s="5"/>
      <c r="BS12" s="9" t="s">
        <v>122</v>
      </c>
      <c r="BT12" s="9"/>
      <c r="BU12" s="9" t="s">
        <v>124</v>
      </c>
      <c r="BV12" s="9"/>
      <c r="BW12" s="9"/>
      <c r="BX12" s="9" t="s">
        <v>126</v>
      </c>
      <c r="BY12" s="9"/>
      <c r="BZ12" s="9" t="s">
        <v>128</v>
      </c>
      <c r="CA12" s="9"/>
      <c r="CB12" s="9" t="s">
        <v>129</v>
      </c>
      <c r="CC12" s="9"/>
      <c r="CD12" s="9" t="s">
        <v>130</v>
      </c>
      <c r="CE12" s="9"/>
      <c r="CF12" s="9" t="s">
        <v>131</v>
      </c>
      <c r="CG12" s="9"/>
      <c r="CH12" s="9" t="s">
        <v>133</v>
      </c>
      <c r="CI12" s="9"/>
      <c r="CJ12" s="9" t="s">
        <v>106</v>
      </c>
      <c r="CK12" s="9"/>
      <c r="CL12" s="9" t="s">
        <v>135</v>
      </c>
      <c r="CM12" s="9"/>
      <c r="CN12" s="9" t="s">
        <v>135</v>
      </c>
      <c r="CO12" s="9"/>
      <c r="CP12" s="9" t="s">
        <v>138</v>
      </c>
      <c r="CQ12" s="9"/>
      <c r="CR12" s="9" t="s">
        <v>138</v>
      </c>
      <c r="CS12" s="9"/>
      <c r="CU12" s="9" t="s">
        <v>122</v>
      </c>
      <c r="CV12" s="9"/>
      <c r="CW12" s="9" t="s">
        <v>124</v>
      </c>
      <c r="CX12" s="9"/>
      <c r="CY12" s="9" t="s">
        <v>126</v>
      </c>
      <c r="CZ12" s="9"/>
      <c r="DA12" s="9" t="s">
        <v>128</v>
      </c>
      <c r="DB12" s="9"/>
      <c r="DC12" s="9" t="s">
        <v>129</v>
      </c>
      <c r="DD12" s="9"/>
      <c r="DE12" s="9" t="s">
        <v>130</v>
      </c>
      <c r="DF12" s="9"/>
    </row>
    <row r="13" spans="3:110" ht="12.75">
      <c r="C13" s="2"/>
      <c r="D13" s="2"/>
      <c r="E13" s="2"/>
      <c r="F13" s="2"/>
      <c r="G13" s="2"/>
      <c r="H13" s="2"/>
      <c r="I13" s="2"/>
      <c r="J13" s="2"/>
      <c r="K13" s="2" t="s">
        <v>54</v>
      </c>
      <c r="L13" s="2"/>
      <c r="M13" s="3"/>
      <c r="N13" s="3"/>
      <c r="O13" s="3"/>
      <c r="P13" s="3"/>
      <c r="Q13" s="3" t="s">
        <v>60</v>
      </c>
      <c r="R13" s="3"/>
      <c r="S13" s="3" t="s">
        <v>61</v>
      </c>
      <c r="T13" s="3"/>
      <c r="U13" s="3"/>
      <c r="V13" s="3"/>
      <c r="W13" s="3"/>
      <c r="X13" s="3"/>
      <c r="Y13" s="3" t="s">
        <v>62</v>
      </c>
      <c r="Z13" s="3"/>
      <c r="AA13" s="3" t="s">
        <v>63</v>
      </c>
      <c r="AB13" s="3"/>
      <c r="AE13" s="2"/>
      <c r="AF13" s="2"/>
      <c r="AG13" s="2"/>
      <c r="AH13" s="2"/>
      <c r="AI13" s="2"/>
      <c r="AJ13" s="2"/>
      <c r="AK13" s="2" t="s">
        <v>54</v>
      </c>
      <c r="AL13" s="2"/>
      <c r="AM13" s="3"/>
      <c r="AN13" s="3"/>
      <c r="AO13" s="3"/>
      <c r="AP13" s="3"/>
      <c r="AQ13" s="3" t="s">
        <v>60</v>
      </c>
      <c r="AR13" s="3"/>
      <c r="AS13" s="3" t="s">
        <v>61</v>
      </c>
      <c r="AT13" s="3"/>
      <c r="AU13" s="3"/>
      <c r="AV13" s="3"/>
      <c r="AW13" s="3"/>
      <c r="AX13" s="3"/>
      <c r="AY13" s="3" t="s">
        <v>62</v>
      </c>
      <c r="AZ13" s="3"/>
      <c r="BA13" s="3" t="s">
        <v>63</v>
      </c>
      <c r="BB13" s="3"/>
      <c r="BD13" s="5" t="s">
        <v>72</v>
      </c>
      <c r="BE13" s="5"/>
      <c r="BF13" s="5" t="s">
        <v>72</v>
      </c>
      <c r="BG13" s="5"/>
      <c r="BH13" s="5" t="s">
        <v>76</v>
      </c>
      <c r="BI13" s="5"/>
      <c r="BJ13" s="5" t="s">
        <v>77</v>
      </c>
      <c r="BK13" s="5"/>
      <c r="BL13" s="5" t="s">
        <v>77</v>
      </c>
      <c r="BM13" s="5"/>
      <c r="BN13" s="5" t="s">
        <v>72</v>
      </c>
      <c r="BO13" s="5"/>
      <c r="BP13" s="5" t="s">
        <v>72</v>
      </c>
      <c r="BQ13" s="5"/>
      <c r="BS13" s="9"/>
      <c r="BT13" s="9"/>
      <c r="BU13" s="9" t="s">
        <v>125</v>
      </c>
      <c r="BV13" s="9"/>
      <c r="BW13" s="9" t="s">
        <v>139</v>
      </c>
      <c r="BX13" s="9" t="s">
        <v>127</v>
      </c>
      <c r="BY13" s="9"/>
      <c r="BZ13" s="9" t="s">
        <v>127</v>
      </c>
      <c r="CA13" s="9"/>
      <c r="CB13" s="9" t="s">
        <v>127</v>
      </c>
      <c r="CC13" s="9"/>
      <c r="CD13" s="9" t="s">
        <v>127</v>
      </c>
      <c r="CE13" s="9"/>
      <c r="CF13" s="9" t="s">
        <v>132</v>
      </c>
      <c r="CG13" s="9"/>
      <c r="CH13" s="9" t="s">
        <v>132</v>
      </c>
      <c r="CI13" s="9"/>
      <c r="CJ13" s="9" t="s">
        <v>134</v>
      </c>
      <c r="CK13" s="9"/>
      <c r="CL13" s="9" t="s">
        <v>136</v>
      </c>
      <c r="CM13" s="9"/>
      <c r="CN13" s="9" t="s">
        <v>137</v>
      </c>
      <c r="CO13" s="9"/>
      <c r="CP13" s="9" t="s">
        <v>136</v>
      </c>
      <c r="CQ13" s="9"/>
      <c r="CR13" s="9" t="s">
        <v>137</v>
      </c>
      <c r="CS13" s="9"/>
      <c r="CU13" s="9"/>
      <c r="CV13" s="9"/>
      <c r="CW13" s="9" t="s">
        <v>125</v>
      </c>
      <c r="CX13" s="9"/>
      <c r="CY13" s="9" t="s">
        <v>127</v>
      </c>
      <c r="CZ13" s="9"/>
      <c r="DA13" s="9" t="s">
        <v>127</v>
      </c>
      <c r="DB13" s="9"/>
      <c r="DC13" s="9" t="s">
        <v>127</v>
      </c>
      <c r="DD13" s="9"/>
      <c r="DE13" s="9" t="s">
        <v>127</v>
      </c>
      <c r="DF13" s="9"/>
    </row>
    <row r="14" spans="3:110" ht="12.75">
      <c r="C14" s="2" t="s">
        <v>20</v>
      </c>
      <c r="D14" s="2" t="s">
        <v>21</v>
      </c>
      <c r="E14" s="2" t="s">
        <v>20</v>
      </c>
      <c r="F14" s="2" t="s">
        <v>21</v>
      </c>
      <c r="G14" s="2" t="s">
        <v>20</v>
      </c>
      <c r="H14" s="2" t="s">
        <v>21</v>
      </c>
      <c r="I14" s="2" t="s">
        <v>20</v>
      </c>
      <c r="J14" s="2" t="s">
        <v>21</v>
      </c>
      <c r="K14" s="2" t="s">
        <v>20</v>
      </c>
      <c r="L14" s="2" t="s">
        <v>21</v>
      </c>
      <c r="M14" s="3" t="s">
        <v>20</v>
      </c>
      <c r="N14" s="3" t="s">
        <v>21</v>
      </c>
      <c r="O14" s="3" t="s">
        <v>20</v>
      </c>
      <c r="P14" s="3" t="s">
        <v>21</v>
      </c>
      <c r="Q14" s="3" t="s">
        <v>20</v>
      </c>
      <c r="R14" s="3" t="s">
        <v>21</v>
      </c>
      <c r="S14" s="3" t="s">
        <v>20</v>
      </c>
      <c r="T14" s="3" t="s">
        <v>21</v>
      </c>
      <c r="U14" s="3" t="s">
        <v>20</v>
      </c>
      <c r="V14" s="3" t="s">
        <v>21</v>
      </c>
      <c r="W14" s="3" t="s">
        <v>20</v>
      </c>
      <c r="X14" s="3" t="s">
        <v>21</v>
      </c>
      <c r="Y14" s="3" t="s">
        <v>20</v>
      </c>
      <c r="Z14" s="3" t="s">
        <v>21</v>
      </c>
      <c r="AA14" s="3" t="s">
        <v>20</v>
      </c>
      <c r="AB14" s="3" t="s">
        <v>21</v>
      </c>
      <c r="AE14" s="2" t="s">
        <v>20</v>
      </c>
      <c r="AF14" s="2" t="s">
        <v>21</v>
      </c>
      <c r="AG14" s="2" t="s">
        <v>20</v>
      </c>
      <c r="AH14" s="2" t="s">
        <v>21</v>
      </c>
      <c r="AI14" s="2" t="s">
        <v>20</v>
      </c>
      <c r="AJ14" s="2" t="s">
        <v>21</v>
      </c>
      <c r="AK14" s="2" t="s">
        <v>20</v>
      </c>
      <c r="AL14" s="2" t="s">
        <v>21</v>
      </c>
      <c r="AM14" s="3" t="s">
        <v>20</v>
      </c>
      <c r="AN14" s="3" t="s">
        <v>21</v>
      </c>
      <c r="AO14" s="3" t="s">
        <v>20</v>
      </c>
      <c r="AP14" s="3" t="s">
        <v>21</v>
      </c>
      <c r="AQ14" s="3" t="s">
        <v>20</v>
      </c>
      <c r="AR14" s="3" t="s">
        <v>21</v>
      </c>
      <c r="AS14" s="3" t="s">
        <v>20</v>
      </c>
      <c r="AT14" s="3" t="s">
        <v>21</v>
      </c>
      <c r="AU14" s="3" t="s">
        <v>20</v>
      </c>
      <c r="AV14" s="3" t="s">
        <v>21</v>
      </c>
      <c r="AW14" s="3" t="s">
        <v>20</v>
      </c>
      <c r="AX14" s="3" t="s">
        <v>21</v>
      </c>
      <c r="AY14" s="3" t="s">
        <v>20</v>
      </c>
      <c r="AZ14" s="3" t="s">
        <v>21</v>
      </c>
      <c r="BA14" s="3" t="s">
        <v>20</v>
      </c>
      <c r="BB14" s="3" t="s">
        <v>21</v>
      </c>
      <c r="BD14" s="5" t="s">
        <v>20</v>
      </c>
      <c r="BE14" s="5" t="s">
        <v>21</v>
      </c>
      <c r="BF14" s="5" t="s">
        <v>20</v>
      </c>
      <c r="BG14" s="5" t="s">
        <v>21</v>
      </c>
      <c r="BH14" s="5" t="s">
        <v>20</v>
      </c>
      <c r="BI14" s="5" t="s">
        <v>21</v>
      </c>
      <c r="BJ14" s="5" t="s">
        <v>20</v>
      </c>
      <c r="BK14" s="5" t="s">
        <v>21</v>
      </c>
      <c r="BL14" s="5" t="s">
        <v>20</v>
      </c>
      <c r="BM14" s="5" t="s">
        <v>21</v>
      </c>
      <c r="BN14" s="5" t="s">
        <v>20</v>
      </c>
      <c r="BO14" s="5" t="s">
        <v>21</v>
      </c>
      <c r="BP14" s="5" t="s">
        <v>20</v>
      </c>
      <c r="BQ14" s="5" t="s">
        <v>21</v>
      </c>
      <c r="BS14" s="9" t="s">
        <v>20</v>
      </c>
      <c r="BT14" s="9" t="s">
        <v>21</v>
      </c>
      <c r="BU14" s="9" t="s">
        <v>20</v>
      </c>
      <c r="BV14" s="9" t="s">
        <v>21</v>
      </c>
      <c r="BW14" s="9" t="s">
        <v>121</v>
      </c>
      <c r="BX14" s="9" t="s">
        <v>20</v>
      </c>
      <c r="BY14" s="9" t="s">
        <v>21</v>
      </c>
      <c r="BZ14" s="9" t="s">
        <v>20</v>
      </c>
      <c r="CA14" s="9" t="s">
        <v>21</v>
      </c>
      <c r="CB14" s="9" t="s">
        <v>20</v>
      </c>
      <c r="CC14" s="9" t="s">
        <v>21</v>
      </c>
      <c r="CD14" s="9" t="s">
        <v>20</v>
      </c>
      <c r="CE14" s="9" t="s">
        <v>21</v>
      </c>
      <c r="CF14" s="9" t="s">
        <v>20</v>
      </c>
      <c r="CG14" s="9" t="s">
        <v>21</v>
      </c>
      <c r="CH14" s="9" t="s">
        <v>20</v>
      </c>
      <c r="CI14" s="9" t="s">
        <v>21</v>
      </c>
      <c r="CJ14" s="9" t="s">
        <v>20</v>
      </c>
      <c r="CK14" s="9" t="s">
        <v>21</v>
      </c>
      <c r="CL14" s="9" t="s">
        <v>20</v>
      </c>
      <c r="CM14" s="9" t="s">
        <v>21</v>
      </c>
      <c r="CN14" s="9" t="s">
        <v>20</v>
      </c>
      <c r="CO14" s="9" t="s">
        <v>21</v>
      </c>
      <c r="CP14" s="9" t="s">
        <v>20</v>
      </c>
      <c r="CQ14" s="9" t="s">
        <v>21</v>
      </c>
      <c r="CR14" s="9" t="s">
        <v>20</v>
      </c>
      <c r="CS14" s="9" t="s">
        <v>21</v>
      </c>
      <c r="CU14" s="9" t="s">
        <v>20</v>
      </c>
      <c r="CV14" s="9" t="s">
        <v>21</v>
      </c>
      <c r="CW14" s="9" t="s">
        <v>20</v>
      </c>
      <c r="CX14" s="9" t="s">
        <v>21</v>
      </c>
      <c r="CY14" s="9" t="s">
        <v>20</v>
      </c>
      <c r="CZ14" s="9" t="s">
        <v>21</v>
      </c>
      <c r="DA14" s="9" t="s">
        <v>20</v>
      </c>
      <c r="DB14" s="9" t="s">
        <v>21</v>
      </c>
      <c r="DC14" s="9" t="s">
        <v>20</v>
      </c>
      <c r="DD14" s="9" t="s">
        <v>21</v>
      </c>
      <c r="DE14" s="9" t="s">
        <v>20</v>
      </c>
      <c r="DF14" s="9" t="s">
        <v>21</v>
      </c>
    </row>
    <row r="15" spans="2:110" ht="12.75">
      <c r="B15">
        <v>10</v>
      </c>
      <c r="C15">
        <f>'Starting population'!B14</f>
        <v>394761.6206089326</v>
      </c>
      <c r="D15">
        <f>'Starting population'!C14</f>
        <v>401368.3295713386</v>
      </c>
      <c r="E15">
        <f>'Starting population'!B14-C15</f>
        <v>0</v>
      </c>
      <c r="F15">
        <f>'Starting population'!C14-D15</f>
        <v>0</v>
      </c>
      <c r="G15">
        <v>0</v>
      </c>
      <c r="H15">
        <v>0</v>
      </c>
      <c r="I15">
        <f>'Starting population'!B14*G15</f>
        <v>0</v>
      </c>
      <c r="J15">
        <f>'Starting population'!C14*H15</f>
        <v>0</v>
      </c>
      <c r="K15">
        <f>E15-I15</f>
        <v>0</v>
      </c>
      <c r="L15">
        <f>F15-J15</f>
        <v>0</v>
      </c>
      <c r="M15">
        <f>C15*H5</f>
        <v>138166.5672131264</v>
      </c>
      <c r="N15">
        <f>D15*I5</f>
        <v>100342.08239283465</v>
      </c>
      <c r="O15">
        <f>C15-M15</f>
        <v>256595.05339580617</v>
      </c>
      <c r="P15">
        <f>D15-N15</f>
        <v>301026.24717850395</v>
      </c>
      <c r="Q15">
        <f>H$5*'Starting population'!B14-M15</f>
        <v>0</v>
      </c>
      <c r="R15">
        <f>I$5*'Starting population'!C14-N15</f>
        <v>0</v>
      </c>
      <c r="S15">
        <f>(1-H$5)*'Starting population'!B14-O15</f>
        <v>0</v>
      </c>
      <c r="T15">
        <f>(1-I$5)*'Starting population'!C14-P15</f>
        <v>0</v>
      </c>
      <c r="U15">
        <f>I15*H$5</f>
        <v>0</v>
      </c>
      <c r="V15">
        <f>J15*I$5</f>
        <v>0</v>
      </c>
      <c r="W15">
        <f>I15*(1-H$5)</f>
        <v>0</v>
      </c>
      <c r="X15">
        <f>J15*(1-I$5)</f>
        <v>0</v>
      </c>
      <c r="Y15">
        <f>Q15-U15</f>
        <v>0</v>
      </c>
      <c r="Z15">
        <f>R15-V15</f>
        <v>0</v>
      </c>
      <c r="AA15">
        <f>S15-W15</f>
        <v>0</v>
      </c>
      <c r="AB15">
        <f>T15-X15</f>
        <v>0</v>
      </c>
      <c r="AD15" s="4" t="s">
        <v>0</v>
      </c>
      <c r="AE15">
        <f>SUM(C15:C19)</f>
        <v>1838353.5283162724</v>
      </c>
      <c r="AF15">
        <f>SUM(D15:D19)</f>
        <v>1791361.8750557844</v>
      </c>
      <c r="AG15">
        <f>SUM(E15:E19)</f>
        <v>24042.87513456249</v>
      </c>
      <c r="AH15">
        <f>SUM(F15:F19)</f>
        <v>109347.86389068182</v>
      </c>
      <c r="AI15">
        <f aca="true" t="shared" si="0" ref="AI15:BB15">SUM(I15:I19)</f>
        <v>0</v>
      </c>
      <c r="AJ15">
        <f t="shared" si="0"/>
        <v>0</v>
      </c>
      <c r="AK15">
        <f t="shared" si="0"/>
        <v>24042.87513456249</v>
      </c>
      <c r="AL15">
        <f t="shared" si="0"/>
        <v>109347.86389068182</v>
      </c>
      <c r="AM15">
        <f t="shared" si="0"/>
        <v>639416.282034498</v>
      </c>
      <c r="AN15">
        <f t="shared" si="0"/>
        <v>432380.7724485604</v>
      </c>
      <c r="AO15">
        <f t="shared" si="0"/>
        <v>1198937.2462817745</v>
      </c>
      <c r="AP15">
        <f t="shared" si="0"/>
        <v>1358981.1026072241</v>
      </c>
      <c r="AQ15">
        <f t="shared" si="0"/>
        <v>12422.459173294104</v>
      </c>
      <c r="AR15">
        <f t="shared" si="0"/>
        <v>42796.662288056235</v>
      </c>
      <c r="AS15">
        <f t="shared" si="0"/>
        <v>11620.415961268387</v>
      </c>
      <c r="AT15">
        <f t="shared" si="0"/>
        <v>66551.20160262554</v>
      </c>
      <c r="AU15">
        <f t="shared" si="0"/>
        <v>0</v>
      </c>
      <c r="AV15">
        <f t="shared" si="0"/>
        <v>0</v>
      </c>
      <c r="AW15">
        <f t="shared" si="0"/>
        <v>0</v>
      </c>
      <c r="AX15">
        <f t="shared" si="0"/>
        <v>0</v>
      </c>
      <c r="AY15">
        <f t="shared" si="0"/>
        <v>12422.459173294104</v>
      </c>
      <c r="AZ15">
        <f t="shared" si="0"/>
        <v>42796.662288056235</v>
      </c>
      <c r="BA15">
        <f t="shared" si="0"/>
        <v>11620.415961268387</v>
      </c>
      <c r="BB15">
        <f t="shared" si="0"/>
        <v>66551.20160262554</v>
      </c>
      <c r="BD15">
        <f>AY15/(1+'Partner acquisition'!B4*MeanDurSTrel+'Partner acquisition'!B$22*('Partner acquisition'!B4*MeanDurSTrel)^2)</f>
        <v>9239.357773946904</v>
      </c>
      <c r="BE15">
        <f>AZ15/(1+'Partner acquisition'!C4*MeanDurSTrel+'Partner acquisition'!C$22*('Partner acquisition'!C4*MeanDurSTrel)^2)</f>
        <v>21361.54223518293</v>
      </c>
      <c r="BF15">
        <f>AY15*'Partner acquisition'!B4*MeanDurSTrel/(1+'Partner acquisition'!B4*MeanDurSTrel+'Partner acquisition'!B$22*('Partner acquisition'!B4*MeanDurSTrel)^2)</f>
        <v>2684.071681224393</v>
      </c>
      <c r="BG15">
        <f>AZ15*'Partner acquisition'!C4*MeanDurSTrel/(1+'Partner acquisition'!C4*MeanDurSTrel+'Partner acquisition'!C$22*('Partner acquisition'!C4*MeanDurSTrel)^2)</f>
        <v>15422.445915578115</v>
      </c>
      <c r="BH15">
        <f>AY15*'Partner acquisition'!B$22*(('Partner acquisition'!B4*MeanDurSTrel)^2)/(1+'Partner acquisition'!B4*MeanDurSTrel+'Partner acquisition'!B$22*('Partner acquisition'!B4*MeanDurSTrel)^2)</f>
        <v>499.0297181228055</v>
      </c>
      <c r="BI15">
        <f>AZ15*'Partner acquisition'!C$22*(('Partner acquisition'!C4*MeanDurSTrel)^2)/(1+'Partner acquisition'!C4*MeanDurSTrel+'Partner acquisition'!C$22*('Partner acquisition'!C4*MeanDurSTrel)^2)</f>
        <v>6012.674137295193</v>
      </c>
      <c r="BJ15">
        <f>BA15/(1+'Partner acquisition'!B4*'Partner acquisition'!B$26*MeanDurSTrel)</f>
        <v>11012.56857687185</v>
      </c>
      <c r="BK15">
        <f>BB15/(1+'Partner acquisition'!C4*'Partner acquisition'!C$26*MeanDurSTrel)</f>
        <v>46435.92518317706</v>
      </c>
      <c r="BL15">
        <f>BA15*'Partner acquisition'!B4*'Partner acquisition'!B$26*MeanDurSTrel/(1+'Partner acquisition'!B4*'Partner acquisition'!B$26*MeanDurSTrel)</f>
        <v>607.8473843965371</v>
      </c>
      <c r="BM15">
        <f>BB15*'Partner acquisition'!C4*'Partner acquisition'!C$26*MeanDurSTrel/(1+'Partner acquisition'!C4*'Partner acquisition'!C$26*MeanDurSTrel)</f>
        <v>20115.276419448484</v>
      </c>
      <c r="BN15">
        <f>AU15/(1+'Partner acquisition'!B4*'Partner acquisition'!B$23*MeanDurSTrel)</f>
        <v>0</v>
      </c>
      <c r="BO15">
        <f>AV15/(1+'Partner acquisition'!C4*'Partner acquisition'!C$23*MeanDurSTrel)</f>
        <v>0</v>
      </c>
      <c r="BP15">
        <f>AU15-BN15</f>
        <v>0</v>
      </c>
      <c r="BQ15">
        <f>AV15-BO15</f>
        <v>0</v>
      </c>
      <c r="BS15">
        <f>AM15</f>
        <v>639416.282034498</v>
      </c>
      <c r="BT15">
        <f>AN15</f>
        <v>432380.7724485604</v>
      </c>
      <c r="BU15">
        <f>BD15</f>
        <v>9239.357773946904</v>
      </c>
      <c r="BV15">
        <f>BE15-BW15</f>
        <v>21361.54223518293</v>
      </c>
      <c r="BW15">
        <f>'Sex work'!G19*SUM('Sex work'!E$19:E$34)/'Sex work'!H$13</f>
        <v>0</v>
      </c>
      <c r="BX15">
        <f>BF15*CB$9</f>
        <v>1870.6670445723407</v>
      </c>
      <c r="BY15">
        <f>BG15*CC$9</f>
        <v>13260.542160855228</v>
      </c>
      <c r="BZ15">
        <f>BF15*(1-CB$9)</f>
        <v>813.4046366520523</v>
      </c>
      <c r="CA15">
        <f>BG15*(1-CC$9)</f>
        <v>2161.903754722887</v>
      </c>
      <c r="CB15">
        <f>BN15*CK$9</f>
        <v>0</v>
      </c>
      <c r="CC15">
        <f>BO15*CL$9</f>
        <v>0</v>
      </c>
      <c r="CD15">
        <f>BN15*(1-CK$9)</f>
        <v>0</v>
      </c>
      <c r="CE15">
        <f>BO15*(1-CL$9)</f>
        <v>0</v>
      </c>
      <c r="CF15">
        <f>BH15*(CB$9^2)</f>
        <v>242.39919888919343</v>
      </c>
      <c r="CG15">
        <f>BI15*(CC$9^2)</f>
        <v>4445.122327334113</v>
      </c>
      <c r="CH15">
        <f>BH15*(1-CB$9)^2</f>
        <v>45.83017090942561</v>
      </c>
      <c r="CI15">
        <f>BI15*(1-CC$9)^2</f>
        <v>118.1500384355672</v>
      </c>
      <c r="CJ15">
        <f>BH15*CB$9*(1-CB$9)*2</f>
        <v>210.80034832418644</v>
      </c>
      <c r="CK15">
        <f>BI15*CC$9*(1-CC$9)*2</f>
        <v>1449.4017715255122</v>
      </c>
      <c r="CL15">
        <f>BP15*CK$9*CB$9</f>
        <v>0</v>
      </c>
      <c r="CM15">
        <f>BQ15*CL$9*CC$9</f>
        <v>0</v>
      </c>
      <c r="CN15">
        <f>BP15*CK$9*(1-CB$9)</f>
        <v>0</v>
      </c>
      <c r="CO15">
        <f>BQ15*CL$9*(1-CC$9)</f>
        <v>0</v>
      </c>
      <c r="CP15">
        <f>BP15*(1-CK$9)*CB$9</f>
        <v>0</v>
      </c>
      <c r="CQ15">
        <f>BQ15*(1-CL$9)*CC$9</f>
        <v>0</v>
      </c>
      <c r="CR15">
        <f>BP15*(1-CK$9)*(1-CB$9)</f>
        <v>0</v>
      </c>
      <c r="CS15">
        <f>BQ15*(1-CL$9)*(1-CC$9)</f>
        <v>0</v>
      </c>
      <c r="CU15">
        <f>AO15</f>
        <v>1198937.2462817745</v>
      </c>
      <c r="CV15">
        <f>AP15</f>
        <v>1358981.1026072241</v>
      </c>
      <c r="CW15">
        <f>BJ15</f>
        <v>11012.56857687185</v>
      </c>
      <c r="CX15">
        <f>BK15</f>
        <v>46435.92518317706</v>
      </c>
      <c r="CY15">
        <f>BL15*CB$10</f>
        <v>143.38452225868028</v>
      </c>
      <c r="CZ15">
        <f>BM15*CC$10</f>
        <v>9083.254341101283</v>
      </c>
      <c r="DA15">
        <f>BL15*(1-CB$10)</f>
        <v>464.46286213785686</v>
      </c>
      <c r="DB15">
        <f>BM15*(1-CC$10)</f>
        <v>11032.022078347201</v>
      </c>
      <c r="DC15">
        <f>AW15*CK$10</f>
        <v>0</v>
      </c>
      <c r="DD15">
        <f>AX15*CL$10</f>
        <v>0</v>
      </c>
      <c r="DE15">
        <f>AW15*(1-CK$10)</f>
        <v>0</v>
      </c>
      <c r="DF15">
        <f>AX15*(1-CL$10)</f>
        <v>0</v>
      </c>
    </row>
    <row r="16" spans="2:110" ht="12.75">
      <c r="B16">
        <v>11</v>
      </c>
      <c r="C16">
        <f>'Starting population'!B15*(H$5*EXP(-H$6*(B16-10))+(1-H$5)*EXP(-H$6*(B16-10)*H$10))</f>
        <v>383819.84073873376</v>
      </c>
      <c r="D16">
        <f>'Starting population'!C15*(I$5*EXP(-I$6*(B16-10))+(1-I$5)*EXP(-I$6*(B16-10)*I$10))</f>
        <v>381738.49696704984</v>
      </c>
      <c r="E16">
        <f>'Starting population'!B15-C16</f>
        <v>2598.4491994430427</v>
      </c>
      <c r="F16">
        <f>'Starting population'!C15-D16</f>
        <v>12094.700130158511</v>
      </c>
      <c r="G16">
        <f>(1-G15)*Marriage!B$22+G15*(1-Divorce!B$22)</f>
        <v>0</v>
      </c>
      <c r="H16">
        <f>(1-H15)*Marriage!C$22+H15*(1-Divorce!C$22)</f>
        <v>0</v>
      </c>
      <c r="I16">
        <f>'Starting population'!B15*G16</f>
        <v>0</v>
      </c>
      <c r="J16">
        <f>'Starting population'!C15*H16</f>
        <v>0</v>
      </c>
      <c r="K16">
        <f aca="true" t="shared" si="1" ref="K16:K79">E16-I16</f>
        <v>2598.4491994430427</v>
      </c>
      <c r="L16">
        <f aca="true" t="shared" si="2" ref="L16:L79">F16-J16</f>
        <v>12094.700130158511</v>
      </c>
      <c r="M16">
        <f>'Starting population'!B15*H$5*EXP(-H$6*(B16-10))</f>
        <v>133900.6772988254</v>
      </c>
      <c r="N16">
        <f>'Starting population'!C15*I$5*EXP(-I$6*(B16-10))</f>
        <v>93656.43135601345</v>
      </c>
      <c r="O16">
        <f aca="true" t="shared" si="3" ref="O16:O34">C16-M16</f>
        <v>249919.16343990836</v>
      </c>
      <c r="P16">
        <f aca="true" t="shared" si="4" ref="P16:P34">D16-N16</f>
        <v>288082.0656110364</v>
      </c>
      <c r="Q16">
        <f>H$5*'Starting population'!B15-M16</f>
        <v>1345.7241795364534</v>
      </c>
      <c r="R16">
        <f>I$5*'Starting population'!C15-N16</f>
        <v>4801.867918288641</v>
      </c>
      <c r="S16">
        <f>(1-H$5)*'Starting population'!B15-O16</f>
        <v>1252.7250199065893</v>
      </c>
      <c r="T16">
        <f>(1-I$5)*'Starting population'!C15-P16</f>
        <v>7292.832211869885</v>
      </c>
      <c r="U16">
        <f aca="true" t="shared" si="5" ref="U16:U79">I16*H$5</f>
        <v>0</v>
      </c>
      <c r="V16">
        <f aca="true" t="shared" si="6" ref="V16:V79">J16*I$5</f>
        <v>0</v>
      </c>
      <c r="W16">
        <f aca="true" t="shared" si="7" ref="W16:W79">I16*(1-H$5)</f>
        <v>0</v>
      </c>
      <c r="X16">
        <f aca="true" t="shared" si="8" ref="X16:X79">J16*(1-I$5)</f>
        <v>0</v>
      </c>
      <c r="Y16">
        <f aca="true" t="shared" si="9" ref="Y16:Y79">Q16-U16</f>
        <v>1345.7241795364534</v>
      </c>
      <c r="Z16">
        <f aca="true" t="shared" si="10" ref="Z16:Z79">R16-V16</f>
        <v>4801.867918288641</v>
      </c>
      <c r="AA16">
        <f aca="true" t="shared" si="11" ref="AA16:AA79">S16-W16</f>
        <v>1252.7250199065893</v>
      </c>
      <c r="AB16">
        <f aca="true" t="shared" si="12" ref="AB16:AB79">T16-X16</f>
        <v>7292.832211869885</v>
      </c>
      <c r="AD16" t="s">
        <v>1</v>
      </c>
      <c r="AE16">
        <f>SUM(C20:C24)</f>
        <v>1143986.9460602566</v>
      </c>
      <c r="AF16">
        <f>SUM(D20:D24)</f>
        <v>848255.3024584659</v>
      </c>
      <c r="AG16">
        <f>SUM(E20:E24)</f>
        <v>481127.64035433193</v>
      </c>
      <c r="AH16">
        <f>SUM(F20:F24)</f>
        <v>804040.2542398388</v>
      </c>
      <c r="AI16">
        <f aca="true" t="shared" si="13" ref="AI16:BB16">SUM(I20:I24)</f>
        <v>12794.830590851048</v>
      </c>
      <c r="AJ16">
        <f t="shared" si="13"/>
        <v>63345.58776588537</v>
      </c>
      <c r="AK16">
        <f t="shared" si="13"/>
        <v>468332.8097634809</v>
      </c>
      <c r="AL16">
        <f t="shared" si="13"/>
        <v>740694.6664739534</v>
      </c>
      <c r="AM16">
        <f t="shared" si="13"/>
        <v>340766.163828454</v>
      </c>
      <c r="AN16">
        <f t="shared" si="13"/>
        <v>148761.3341041713</v>
      </c>
      <c r="AO16">
        <f t="shared" si="13"/>
        <v>803220.7822318028</v>
      </c>
      <c r="AP16">
        <f t="shared" si="13"/>
        <v>699493.9683542943</v>
      </c>
      <c r="AQ16">
        <f t="shared" si="13"/>
        <v>228023.94141665206</v>
      </c>
      <c r="AR16">
        <f t="shared" si="13"/>
        <v>264312.5550704048</v>
      </c>
      <c r="AS16">
        <f t="shared" si="13"/>
        <v>253103.69893767984</v>
      </c>
      <c r="AT16">
        <f t="shared" si="13"/>
        <v>539727.6991694339</v>
      </c>
      <c r="AU16">
        <f t="shared" si="13"/>
        <v>4478.190706797866</v>
      </c>
      <c r="AV16">
        <f t="shared" si="13"/>
        <v>15836.396941471343</v>
      </c>
      <c r="AW16">
        <f t="shared" si="13"/>
        <v>8316.639884053182</v>
      </c>
      <c r="AX16">
        <f t="shared" si="13"/>
        <v>47509.19082441402</v>
      </c>
      <c r="AY16">
        <f t="shared" si="13"/>
        <v>223545.75070985418</v>
      </c>
      <c r="AZ16">
        <f t="shared" si="13"/>
        <v>248476.1581289335</v>
      </c>
      <c r="BA16">
        <f t="shared" si="13"/>
        <v>244787.05905362667</v>
      </c>
      <c r="BB16">
        <f t="shared" si="13"/>
        <v>492218.5083450199</v>
      </c>
      <c r="BD16">
        <f>AY16/(1+'Partner acquisition'!B5*MeanDurSTrel+'Partner acquisition'!B$22*('Partner acquisition'!B5*MeanDurSTrel)^2)</f>
        <v>16965.616610747562</v>
      </c>
      <c r="BE16">
        <f>AZ16/(1+'Partner acquisition'!C5*MeanDurSTrel+'Partner acquisition'!C$22*('Partner acquisition'!C5*MeanDurSTrel)^2)</f>
        <v>6701.697516194406</v>
      </c>
      <c r="BF16">
        <f>AY16*'Partner acquisition'!B5*MeanDurSTrel/(1+'Partner acquisition'!B5*MeanDurSTrel+'Partner acquisition'!B$22*('Partner acquisition'!B5*MeanDurSTrel)^2)</f>
        <v>61924.5006292286</v>
      </c>
      <c r="BG16">
        <f>AZ16*'Partner acquisition'!C5*MeanDurSTrel/(1+'Partner acquisition'!C5*MeanDurSTrel+'Partner acquisition'!C$22*('Partner acquisition'!C5*MeanDurSTrel)^2)</f>
        <v>48922.39186821916</v>
      </c>
      <c r="BH16">
        <f>AY16*'Partner acquisition'!B$22*(('Partner acquisition'!B5*MeanDurSTrel)^2)/(1+'Partner acquisition'!B5*MeanDurSTrel+'Partner acquisition'!B$22*('Partner acquisition'!B5*MeanDurSTrel)^2)</f>
        <v>144655.63346987803</v>
      </c>
      <c r="BI16">
        <f>AZ16*'Partner acquisition'!C$22*(('Partner acquisition'!C5*MeanDurSTrel)^2)/(1+'Partner acquisition'!C5*MeanDurSTrel+'Partner acquisition'!C$22*('Partner acquisition'!C5*MeanDurSTrel)^2)</f>
        <v>192852.06874451996</v>
      </c>
      <c r="BJ16">
        <f>BA16/(1+'Partner acquisition'!B5*'Partner acquisition'!B$26*MeanDurSTrel)</f>
        <v>144545.05996671194</v>
      </c>
      <c r="BK16">
        <f>BB16/(1+'Partner acquisition'!C5*'Partner acquisition'!C$26*MeanDurSTrel)</f>
        <v>91490.42906041261</v>
      </c>
      <c r="BL16">
        <f>BA16*'Partner acquisition'!B5*'Partner acquisition'!B$26*MeanDurSTrel/(1+'Partner acquisition'!B5*'Partner acquisition'!B$26*MeanDurSTrel)</f>
        <v>100241.99908691474</v>
      </c>
      <c r="BM16">
        <f>BB16*'Partner acquisition'!C5*'Partner acquisition'!C$26*MeanDurSTrel/(1+'Partner acquisition'!C5*'Partner acquisition'!C$26*MeanDurSTrel)</f>
        <v>400728.07928460726</v>
      </c>
      <c r="BN16">
        <f>AU16/(1+'Partner acquisition'!B5*'Partner acquisition'!B$23*MeanDurSTrel)</f>
        <v>1793.7875853386206</v>
      </c>
      <c r="BO16">
        <f>AV16/(1+'Partner acquisition'!C5*'Partner acquisition'!C$23*MeanDurSTrel)</f>
        <v>7066.665301861375</v>
      </c>
      <c r="BP16">
        <f aca="true" t="shared" si="14" ref="BP16:BP30">AU16-BN16</f>
        <v>2684.403121459246</v>
      </c>
      <c r="BQ16">
        <f aca="true" t="shared" si="15" ref="BQ16:BQ30">AV16-BO16</f>
        <v>8769.731639609967</v>
      </c>
      <c r="BS16">
        <f aca="true" t="shared" si="16" ref="BS16:BS30">AM16</f>
        <v>340766.163828454</v>
      </c>
      <c r="BT16">
        <f aca="true" t="shared" si="17" ref="BT16:BT30">AN16</f>
        <v>148761.3341041713</v>
      </c>
      <c r="BU16">
        <f aca="true" t="shared" si="18" ref="BU16:BU30">BD16</f>
        <v>16965.616610747562</v>
      </c>
      <c r="BV16">
        <f aca="true" t="shared" si="19" ref="BV16:BV30">BE16-BW16</f>
        <v>6437.184164704273</v>
      </c>
      <c r="BW16">
        <f>'Sex work'!G20*SUM('Sex work'!E$19:E$34)/'Sex work'!H$13</f>
        <v>264.5133514901326</v>
      </c>
      <c r="BX16">
        <f aca="true" t="shared" si="20" ref="BX16:BX30">BF16*CB$9</f>
        <v>43158.35653310657</v>
      </c>
      <c r="BY16">
        <f aca="true" t="shared" si="21" ref="BY16:BY30">BG16*CC$9</f>
        <v>42064.49765034452</v>
      </c>
      <c r="BZ16">
        <f aca="true" t="shared" si="22" ref="BZ16:BZ30">BF16*(1-CB$9)</f>
        <v>18766.14409612203</v>
      </c>
      <c r="CA16">
        <f aca="true" t="shared" si="23" ref="CA16:CA30">BG16*(1-CC$9)</f>
        <v>6857.894217874635</v>
      </c>
      <c r="CB16">
        <f aca="true" t="shared" si="24" ref="CB16:CB30">BN16*CK$9</f>
        <v>989.8644906899094</v>
      </c>
      <c r="CC16">
        <f aca="true" t="shared" si="25" ref="CC16:CC30">BO16*CL$9</f>
        <v>4702.450072194518</v>
      </c>
      <c r="CD16">
        <f aca="true" t="shared" si="26" ref="CD16:CD30">BN16*(1-CK$9)</f>
        <v>803.9230946487112</v>
      </c>
      <c r="CE16">
        <f aca="true" t="shared" si="27" ref="CE16:CE30">BO16*(1-CL$9)</f>
        <v>2364.2152296668573</v>
      </c>
      <c r="CF16">
        <f aca="true" t="shared" si="28" ref="CF16:CF30">BH16*(CB$9^2)</f>
        <v>70265.17338448024</v>
      </c>
      <c r="CG16">
        <f aca="true" t="shared" si="29" ref="CG16:CG30">BI16*(CC$9^2)</f>
        <v>142574.00568767128</v>
      </c>
      <c r="CH16">
        <f aca="true" t="shared" si="30" ref="CH16:CI30">BH16*(1-CB$9)^2</f>
        <v>13284.965131684345</v>
      </c>
      <c r="CI16">
        <f t="shared" si="30"/>
        <v>3789.5749568749707</v>
      </c>
      <c r="CJ16">
        <f aca="true" t="shared" si="31" ref="CJ16:CJ30">BH16*CB$9*(1-CB$9)*2</f>
        <v>61105.49495371344</v>
      </c>
      <c r="CK16">
        <f aca="true" t="shared" si="32" ref="CK16:CK30">BI16*CC$9*(1-CC$9)*2</f>
        <v>46488.488099973685</v>
      </c>
      <c r="CL16">
        <f aca="true" t="shared" si="33" ref="CL16:CL30">BP16*CK$9*CB$9</f>
        <v>1032.416297704938</v>
      </c>
      <c r="CM16">
        <f aca="true" t="shared" si="34" ref="CM16:CM30">BQ16*CL$9*CC$9</f>
        <v>5017.69199831812</v>
      </c>
      <c r="CN16">
        <f aca="true" t="shared" si="35" ref="CN16:CN30">BP16*CK$9*(1-CB$9)</f>
        <v>448.91591261251153</v>
      </c>
      <c r="CO16">
        <f aca="true" t="shared" si="36" ref="CO16:CO30">BQ16*CL$9*(1-CC$9)</f>
        <v>818.048541275277</v>
      </c>
      <c r="CP16">
        <f aca="true" t="shared" si="37" ref="CP16:CP30">BP16*(1-CK$9)*CB$9</f>
        <v>838.4817445448947</v>
      </c>
      <c r="CQ16">
        <f aca="true" t="shared" si="38" ref="CQ16:CQ30">BQ16*(1-CL$9)*CC$9</f>
        <v>2522.707026778724</v>
      </c>
      <c r="CR16">
        <f aca="true" t="shared" si="39" ref="CR16:CR30">BP16*(1-CK$9)*(1-CB$9)</f>
        <v>364.58916659690175</v>
      </c>
      <c r="CS16">
        <f aca="true" t="shared" si="40" ref="CS16:CS30">BQ16*(1-CL$9)*(1-CC$9)</f>
        <v>411.28407323784654</v>
      </c>
      <c r="CU16">
        <f aca="true" t="shared" si="41" ref="CU16:CU30">AO16</f>
        <v>803220.7822318028</v>
      </c>
      <c r="CV16">
        <f aca="true" t="shared" si="42" ref="CV16:CV30">AP16</f>
        <v>699493.9683542943</v>
      </c>
      <c r="CW16">
        <f aca="true" t="shared" si="43" ref="CW16:CW30">BJ16</f>
        <v>144545.05996671194</v>
      </c>
      <c r="CX16">
        <f aca="true" t="shared" si="44" ref="CX16:CX30">BK16</f>
        <v>91490.42906041261</v>
      </c>
      <c r="CY16">
        <f aca="true" t="shared" si="45" ref="CY16:CY30">BL16*CB$10</f>
        <v>23645.986670818384</v>
      </c>
      <c r="CZ16">
        <f aca="true" t="shared" si="46" ref="CZ16:CZ30">BM16*CC$10</f>
        <v>180952.7738949603</v>
      </c>
      <c r="DA16">
        <f aca="true" t="shared" si="47" ref="DA16:DA30">BL16*(1-CB$10)</f>
        <v>76596.01241609636</v>
      </c>
      <c r="DB16">
        <f aca="true" t="shared" si="48" ref="DB16:DB30">BM16*(1-CC$10)</f>
        <v>219775.30538964696</v>
      </c>
      <c r="DC16">
        <f aca="true" t="shared" si="49" ref="DC16:DC30">AW16*CK$10</f>
        <v>1126.2116509655352</v>
      </c>
      <c r="DD16">
        <f aca="true" t="shared" si="50" ref="DD16:DD30">AX16*CL$10</f>
        <v>9593.201993391294</v>
      </c>
      <c r="DE16">
        <f aca="true" t="shared" si="51" ref="DE16:DE30">AW16*(1-CK$10)</f>
        <v>7190.428233087647</v>
      </c>
      <c r="DF16">
        <f aca="true" t="shared" si="52" ref="DF16:DF30">AX16*(1-CL$10)</f>
        <v>37915.988831022725</v>
      </c>
    </row>
    <row r="17" spans="2:110" ht="12.75">
      <c r="B17">
        <v>12</v>
      </c>
      <c r="C17">
        <f>'Starting population'!B16*(H$5*EXP(-H$6*(B17-10))+(1-H$5)*EXP(-H$6*(B17-10)*H$10))</f>
        <v>369409.36859982106</v>
      </c>
      <c r="D17">
        <f>'Starting population'!C16*(I$5*EXP(-I$6*(B17-10))+(1-I$5)*EXP(-I$6*(B17-10)*I$10))</f>
        <v>359418.1711244889</v>
      </c>
      <c r="E17">
        <f>'Starting population'!B16-C17</f>
        <v>5016.586050975893</v>
      </c>
      <c r="F17">
        <f>'Starting population'!C16-D17</f>
        <v>23091.568727686186</v>
      </c>
      <c r="G17">
        <f>(1-G16)*Marriage!B$22+G16*(1-Divorce!B$22)</f>
        <v>0</v>
      </c>
      <c r="H17">
        <f>(1-H16)*Marriage!C$22+H16*(1-Divorce!C$22)</f>
        <v>0</v>
      </c>
      <c r="I17">
        <f>'Starting population'!B16*G17</f>
        <v>0</v>
      </c>
      <c r="J17">
        <f>'Starting population'!C16*H17</f>
        <v>0</v>
      </c>
      <c r="K17">
        <f t="shared" si="1"/>
        <v>5016.586050975893</v>
      </c>
      <c r="L17">
        <f t="shared" si="2"/>
        <v>23091.568727686186</v>
      </c>
      <c r="M17">
        <f>'Starting population'!B16*H$5*EXP(-H$6*(B17-10))</f>
        <v>128454.13840011426</v>
      </c>
      <c r="N17">
        <f>'Starting population'!C16*I$5*EXP(-I$6*(B17-10))</f>
        <v>86527.28134536216</v>
      </c>
      <c r="O17">
        <f t="shared" si="3"/>
        <v>240955.2301997068</v>
      </c>
      <c r="P17">
        <f t="shared" si="4"/>
        <v>272890.88977912674</v>
      </c>
      <c r="Q17">
        <f>H$5*'Starting population'!B16-M17</f>
        <v>2594.9457276646717</v>
      </c>
      <c r="R17">
        <f>I$5*'Starting population'!C16-N17</f>
        <v>9100.1536176816</v>
      </c>
      <c r="S17">
        <f>(1-H$5)*'Starting population'!B16-O17</f>
        <v>2421.640323311236</v>
      </c>
      <c r="T17">
        <f>(1-I$5)*'Starting population'!C16-P17</f>
        <v>13991.415110004542</v>
      </c>
      <c r="U17">
        <f t="shared" si="5"/>
        <v>0</v>
      </c>
      <c r="V17">
        <f t="shared" si="6"/>
        <v>0</v>
      </c>
      <c r="W17">
        <f t="shared" si="7"/>
        <v>0</v>
      </c>
      <c r="X17">
        <f t="shared" si="8"/>
        <v>0</v>
      </c>
      <c r="Y17">
        <f t="shared" si="9"/>
        <v>2594.9457276646717</v>
      </c>
      <c r="Z17">
        <f t="shared" si="10"/>
        <v>9100.1536176816</v>
      </c>
      <c r="AA17">
        <f t="shared" si="11"/>
        <v>2421.640323311236</v>
      </c>
      <c r="AB17">
        <f t="shared" si="12"/>
        <v>13991.415110004542</v>
      </c>
      <c r="AD17" t="s">
        <v>2</v>
      </c>
      <c r="AE17">
        <f>SUM(C25:C29)</f>
        <v>309276.12156682345</v>
      </c>
      <c r="AF17">
        <f>SUM(D25:D29)</f>
        <v>147432.48645173703</v>
      </c>
      <c r="AG17">
        <f>SUM(E25:E29)</f>
        <v>1232718.9101886684</v>
      </c>
      <c r="AH17">
        <f>SUM(F25:F29)</f>
        <v>1401572.2594095257</v>
      </c>
      <c r="AI17">
        <f aca="true" t="shared" si="53" ref="AI17:BB17">SUM(I25:I29)</f>
        <v>128041.01825673561</v>
      </c>
      <c r="AJ17">
        <f t="shared" si="53"/>
        <v>314142.2465849082</v>
      </c>
      <c r="AK17">
        <f t="shared" si="53"/>
        <v>1104677.8919319327</v>
      </c>
      <c r="AL17">
        <f t="shared" si="53"/>
        <v>1087430.0128246173</v>
      </c>
      <c r="AM17">
        <f t="shared" si="53"/>
        <v>47842.31140591502</v>
      </c>
      <c r="AN17">
        <f t="shared" si="53"/>
        <v>7645.633479089825</v>
      </c>
      <c r="AO17">
        <f t="shared" si="53"/>
        <v>261433.81016090844</v>
      </c>
      <c r="AP17">
        <f t="shared" si="53"/>
        <v>139786.8529726472</v>
      </c>
      <c r="AQ17">
        <f t="shared" si="53"/>
        <v>491855.9497085071</v>
      </c>
      <c r="AR17">
        <f t="shared" si="53"/>
        <v>379605.5529862258</v>
      </c>
      <c r="AS17">
        <f t="shared" si="53"/>
        <v>740862.9604801612</v>
      </c>
      <c r="AT17">
        <f t="shared" si="53"/>
        <v>1021966.7064232997</v>
      </c>
      <c r="AU17">
        <f t="shared" si="53"/>
        <v>44814.35638985746</v>
      </c>
      <c r="AV17">
        <f t="shared" si="53"/>
        <v>78535.56164622706</v>
      </c>
      <c r="AW17">
        <f t="shared" si="53"/>
        <v>83226.66186687814</v>
      </c>
      <c r="AX17">
        <f t="shared" si="53"/>
        <v>235606.6849386812</v>
      </c>
      <c r="AY17">
        <f t="shared" si="53"/>
        <v>447041.5933186496</v>
      </c>
      <c r="AZ17">
        <f t="shared" si="53"/>
        <v>301069.9913399988</v>
      </c>
      <c r="BA17">
        <f t="shared" si="53"/>
        <v>657636.2986132831</v>
      </c>
      <c r="BB17">
        <f t="shared" si="53"/>
        <v>786360.0214846187</v>
      </c>
      <c r="BD17">
        <f>AY17/(1+'Partner acquisition'!B6*MeanDurSTrel+'Partner acquisition'!B$22*('Partner acquisition'!B6*MeanDurSTrel)^2)</f>
        <v>9036.232487985568</v>
      </c>
      <c r="BE17">
        <f>AZ17/(1+'Partner acquisition'!C6*MeanDurSTrel+'Partner acquisition'!C$22*('Partner acquisition'!C6*MeanDurSTrel)^2)</f>
        <v>3499.6375651690673</v>
      </c>
      <c r="BF17">
        <f>AY17*'Partner acquisition'!B6*MeanDurSTrel/(1+'Partner acquisition'!B6*MeanDurSTrel+'Partner acquisition'!B$22*('Partner acquisition'!B6*MeanDurSTrel)^2)</f>
        <v>71896.66312990559</v>
      </c>
      <c r="BG17">
        <f>AZ17*'Partner acquisition'!C6*MeanDurSTrel/(1+'Partner acquisition'!C6*MeanDurSTrel+'Partner acquisition'!C$22*('Partner acquisition'!C6*MeanDurSTrel)^2)</f>
        <v>40793.641231880894</v>
      </c>
      <c r="BH17">
        <f>AY17*'Partner acquisition'!B$22*(('Partner acquisition'!B6*MeanDurSTrel)^2)/(1+'Partner acquisition'!B6*MeanDurSTrel+'Partner acquisition'!B$22*('Partner acquisition'!B6*MeanDurSTrel)^2)</f>
        <v>366108.6977007585</v>
      </c>
      <c r="BI17">
        <f>AZ17*'Partner acquisition'!C$22*(('Partner acquisition'!C6*MeanDurSTrel)^2)/(1+'Partner acquisition'!C6*MeanDurSTrel+'Partner acquisition'!C$22*('Partner acquisition'!C6*MeanDurSTrel)^2)</f>
        <v>256776.7125429488</v>
      </c>
      <c r="BJ17">
        <f>BA17/(1+'Partner acquisition'!B6*'Partner acquisition'!B$26*MeanDurSTrel)</f>
        <v>261825.77496561818</v>
      </c>
      <c r="BK17">
        <f>BB17/(1+'Partner acquisition'!C6*'Partner acquisition'!C$26*MeanDurSTrel)</f>
        <v>98369.76518513174</v>
      </c>
      <c r="BL17">
        <f>BA17*'Partner acquisition'!B6*'Partner acquisition'!B$26*MeanDurSTrel/(1+'Partner acquisition'!B6*'Partner acquisition'!B$26*MeanDurSTrel)</f>
        <v>395810.5236476649</v>
      </c>
      <c r="BM17">
        <f>BB17*'Partner acquisition'!C6*'Partner acquisition'!C$26*MeanDurSTrel/(1+'Partner acquisition'!C6*'Partner acquisition'!C$26*MeanDurSTrel)</f>
        <v>687990.256299487</v>
      </c>
      <c r="BN17">
        <f>AU17/(1+'Partner acquisition'!B6*'Partner acquisition'!B$23*MeanDurSTrel)</f>
        <v>10514.471859658874</v>
      </c>
      <c r="BO17">
        <f>AV17/(1+'Partner acquisition'!C6*'Partner acquisition'!C$23*MeanDurSTrel)</f>
        <v>26339.979066107822</v>
      </c>
      <c r="BP17">
        <f t="shared" si="14"/>
        <v>34299.884530198586</v>
      </c>
      <c r="BQ17">
        <f t="shared" si="15"/>
        <v>52195.58258011923</v>
      </c>
      <c r="BS17">
        <f t="shared" si="16"/>
        <v>47842.31140591502</v>
      </c>
      <c r="BT17">
        <f t="shared" si="17"/>
        <v>7645.633479089825</v>
      </c>
      <c r="BU17">
        <f t="shared" si="18"/>
        <v>9036.232487985568</v>
      </c>
      <c r="BV17">
        <f t="shared" si="19"/>
        <v>3113.041128375796</v>
      </c>
      <c r="BW17">
        <f>'Sex work'!G21*SUM('Sex work'!E$19:E$34)/'Sex work'!H$13</f>
        <v>386.5964367932714</v>
      </c>
      <c r="BX17">
        <f t="shared" si="20"/>
        <v>50108.46739774148</v>
      </c>
      <c r="BY17">
        <f t="shared" si="21"/>
        <v>35075.22752300612</v>
      </c>
      <c r="BZ17">
        <f t="shared" si="22"/>
        <v>21788.195732164106</v>
      </c>
      <c r="CA17">
        <f t="shared" si="23"/>
        <v>5718.413708874776</v>
      </c>
      <c r="CB17">
        <f t="shared" si="24"/>
        <v>5802.193312799561</v>
      </c>
      <c r="CC17">
        <f t="shared" si="25"/>
        <v>17527.706657961455</v>
      </c>
      <c r="CD17">
        <f t="shared" si="26"/>
        <v>4712.278546859313</v>
      </c>
      <c r="CE17">
        <f t="shared" si="27"/>
        <v>8812.272408146368</v>
      </c>
      <c r="CF17">
        <f t="shared" si="28"/>
        <v>177834.00828884257</v>
      </c>
      <c r="CG17">
        <f t="shared" si="29"/>
        <v>189832.98811825793</v>
      </c>
      <c r="CH17">
        <f t="shared" si="30"/>
        <v>33622.89574691005</v>
      </c>
      <c r="CI17">
        <f t="shared" si="30"/>
        <v>5045.704750258701</v>
      </c>
      <c r="CJ17">
        <f t="shared" si="31"/>
        <v>154651.7936650059</v>
      </c>
      <c r="CK17">
        <f t="shared" si="32"/>
        <v>61898.01967443216</v>
      </c>
      <c r="CL17">
        <f t="shared" si="33"/>
        <v>13191.669878227756</v>
      </c>
      <c r="CM17">
        <f t="shared" si="34"/>
        <v>29864.238476454102</v>
      </c>
      <c r="CN17">
        <f t="shared" si="35"/>
        <v>5736.010304595241</v>
      </c>
      <c r="CO17">
        <f t="shared" si="36"/>
        <v>4868.851402228177</v>
      </c>
      <c r="CP17">
        <f t="shared" si="37"/>
        <v>10713.676641433594</v>
      </c>
      <c r="CQ17">
        <f t="shared" si="38"/>
        <v>15014.61713457085</v>
      </c>
      <c r="CR17">
        <f t="shared" si="39"/>
        <v>4658.527705941992</v>
      </c>
      <c r="CS17">
        <f t="shared" si="40"/>
        <v>2447.8755668661</v>
      </c>
      <c r="CU17">
        <f t="shared" si="41"/>
        <v>261433.81016090844</v>
      </c>
      <c r="CV17">
        <f t="shared" si="42"/>
        <v>139786.8529726472</v>
      </c>
      <c r="CW17">
        <f t="shared" si="43"/>
        <v>261825.77496561818</v>
      </c>
      <c r="CX17">
        <f t="shared" si="44"/>
        <v>98369.76518513174</v>
      </c>
      <c r="CY17">
        <f t="shared" si="45"/>
        <v>93367.35551559909</v>
      </c>
      <c r="CZ17">
        <f t="shared" si="46"/>
        <v>310668.8842777055</v>
      </c>
      <c r="DA17">
        <f t="shared" si="47"/>
        <v>302443.1681320658</v>
      </c>
      <c r="DB17">
        <f t="shared" si="48"/>
        <v>377321.37202178146</v>
      </c>
      <c r="DC17">
        <f t="shared" si="49"/>
        <v>11270.277127806417</v>
      </c>
      <c r="DD17">
        <f t="shared" si="50"/>
        <v>47574.42676646448</v>
      </c>
      <c r="DE17">
        <f t="shared" si="51"/>
        <v>71956.38473907173</v>
      </c>
      <c r="DF17">
        <f t="shared" si="52"/>
        <v>188032.2581722167</v>
      </c>
    </row>
    <row r="18" spans="2:110" ht="12.75">
      <c r="B18">
        <v>13</v>
      </c>
      <c r="C18">
        <f>'Starting population'!B17*(H$5*EXP(-H$6*(B18-10))+(1-H$5)*EXP(-H$6*(B18-10)*H$10))</f>
        <v>353175.53055083734</v>
      </c>
      <c r="D18">
        <f>'Starting population'!C17*(I$5*EXP(-I$6*(B18-10))+(1-I$5)*EXP(-I$6*(B18-10)*I$10))</f>
        <v>335919.5957511456</v>
      </c>
      <c r="E18">
        <f>'Starting population'!B17-C18</f>
        <v>7215.497802730417</v>
      </c>
      <c r="F18">
        <f>'Starting population'!C17-D18</f>
        <v>32823.84128036763</v>
      </c>
      <c r="G18">
        <f>(1-G17)*Marriage!B$22+G17*(1-Divorce!B$22)</f>
        <v>0</v>
      </c>
      <c r="H18">
        <f>(1-H17)*Marriage!C$22+H17*(1-Divorce!C$22)</f>
        <v>0</v>
      </c>
      <c r="I18">
        <f>'Starting population'!B17*G18</f>
        <v>0</v>
      </c>
      <c r="J18">
        <f>'Starting population'!C17*H18</f>
        <v>0</v>
      </c>
      <c r="K18">
        <f t="shared" si="1"/>
        <v>7215.497802730417</v>
      </c>
      <c r="L18">
        <f t="shared" si="2"/>
        <v>32823.84128036763</v>
      </c>
      <c r="M18">
        <f>'Starting population'!B17*H$5*EXP(-H$6*(B18-10))</f>
        <v>122408.95232883574</v>
      </c>
      <c r="N18">
        <f>'Starting population'!C17*I$5*EXP(-I$6*(B18-10))</f>
        <v>79345.10437685362</v>
      </c>
      <c r="O18">
        <f t="shared" si="3"/>
        <v>230766.5782220016</v>
      </c>
      <c r="P18">
        <f t="shared" si="4"/>
        <v>256574.491374292</v>
      </c>
      <c r="Q18">
        <f>H$5*'Starting population'!B17-M18</f>
        <v>3727.907594912962</v>
      </c>
      <c r="R18">
        <f>I$5*'Starting population'!C17-N18</f>
        <v>12840.754881024695</v>
      </c>
      <c r="S18">
        <f>(1-H$5)*'Starting population'!B17-O18</f>
        <v>3487.5902078174404</v>
      </c>
      <c r="T18">
        <f>(1-I$5)*'Starting population'!C17-P18</f>
        <v>19983.086399342923</v>
      </c>
      <c r="U18">
        <f t="shared" si="5"/>
        <v>0</v>
      </c>
      <c r="V18">
        <f t="shared" si="6"/>
        <v>0</v>
      </c>
      <c r="W18">
        <f t="shared" si="7"/>
        <v>0</v>
      </c>
      <c r="X18">
        <f t="shared" si="8"/>
        <v>0</v>
      </c>
      <c r="Y18">
        <f t="shared" si="9"/>
        <v>3727.907594912962</v>
      </c>
      <c r="Z18">
        <f t="shared" si="10"/>
        <v>12840.754881024695</v>
      </c>
      <c r="AA18">
        <f t="shared" si="11"/>
        <v>3487.5902078174404</v>
      </c>
      <c r="AB18">
        <f t="shared" si="12"/>
        <v>19983.086399342923</v>
      </c>
      <c r="AD18" t="s">
        <v>3</v>
      </c>
      <c r="AE18">
        <f>SUM(C30:C34)</f>
        <v>27482.601087336265</v>
      </c>
      <c r="AF18">
        <f>SUM(D30:D34)</f>
        <v>11935.221519792287</v>
      </c>
      <c r="AG18">
        <f>SUM(E30:E34)</f>
        <v>1311444.5301176494</v>
      </c>
      <c r="AH18">
        <f>SUM(F30:F34)</f>
        <v>1317420.2139752528</v>
      </c>
      <c r="AI18">
        <f aca="true" t="shared" si="54" ref="AI18:BB18">SUM(I30:I34)</f>
        <v>425698.18226940784</v>
      </c>
      <c r="AJ18">
        <f t="shared" si="54"/>
        <v>578721.6996248363</v>
      </c>
      <c r="AK18">
        <f t="shared" si="54"/>
        <v>885746.3478482417</v>
      </c>
      <c r="AL18">
        <f t="shared" si="54"/>
        <v>738698.5143504161</v>
      </c>
      <c r="AM18">
        <f t="shared" si="54"/>
        <v>634.6261613230189</v>
      </c>
      <c r="AN18">
        <f t="shared" si="54"/>
        <v>67.10336122473322</v>
      </c>
      <c r="AO18">
        <f t="shared" si="54"/>
        <v>26847.974926013252</v>
      </c>
      <c r="AP18">
        <f t="shared" si="54"/>
        <v>11868.118158567553</v>
      </c>
      <c r="AQ18">
        <f t="shared" si="54"/>
        <v>467989.8697604219</v>
      </c>
      <c r="AR18">
        <f t="shared" si="54"/>
        <v>332271.7555125365</v>
      </c>
      <c r="AS18">
        <f t="shared" si="54"/>
        <v>843454.6603572273</v>
      </c>
      <c r="AT18">
        <f t="shared" si="54"/>
        <v>985148.458462716</v>
      </c>
      <c r="AU18">
        <f t="shared" si="54"/>
        <v>148994.36379429273</v>
      </c>
      <c r="AV18">
        <f t="shared" si="54"/>
        <v>144680.42490620908</v>
      </c>
      <c r="AW18">
        <f t="shared" si="54"/>
        <v>276703.8184751151</v>
      </c>
      <c r="AX18">
        <f t="shared" si="54"/>
        <v>434041.2747186272</v>
      </c>
      <c r="AY18">
        <f t="shared" si="54"/>
        <v>318995.50596612925</v>
      </c>
      <c r="AZ18">
        <f t="shared" si="54"/>
        <v>187591.33060632733</v>
      </c>
      <c r="BA18">
        <f t="shared" si="54"/>
        <v>566750.8418821123</v>
      </c>
      <c r="BB18">
        <f t="shared" si="54"/>
        <v>551107.1837440887</v>
      </c>
      <c r="BD18">
        <f>AY18/(1+'Partner acquisition'!B7*MeanDurSTrel+'Partner acquisition'!B$22*('Partner acquisition'!B7*MeanDurSTrel)^2)</f>
        <v>4016.4836409505297</v>
      </c>
      <c r="BE18">
        <f>AZ18/(1+'Partner acquisition'!C7*MeanDurSTrel+'Partner acquisition'!C$22*('Partner acquisition'!C7*MeanDurSTrel)^2)</f>
        <v>2522.9084523251977</v>
      </c>
      <c r="BF18">
        <f>AY18*'Partner acquisition'!B7*MeanDurSTrel/(1+'Partner acquisition'!B7*MeanDurSTrel+'Partner acquisition'!B$22*('Partner acquisition'!B7*MeanDurSTrel)^2)</f>
        <v>41433.1628505057</v>
      </c>
      <c r="BG18">
        <f>AZ18*'Partner acquisition'!C7*MeanDurSTrel/(1+'Partner acquisition'!C7*MeanDurSTrel+'Partner acquisition'!C$22*('Partner acquisition'!C7*MeanDurSTrel)^2)</f>
        <v>27161.54030994355</v>
      </c>
      <c r="BH18">
        <f>AY18*'Partner acquisition'!B$22*(('Partner acquisition'!B7*MeanDurSTrel)^2)/(1+'Partner acquisition'!B7*MeanDurSTrel+'Partner acquisition'!B$22*('Partner acquisition'!B7*MeanDurSTrel)^2)</f>
        <v>273545.85947467305</v>
      </c>
      <c r="BI18">
        <f>AZ18*'Partner acquisition'!C$22*(('Partner acquisition'!C7*MeanDurSTrel)^2)/(1+'Partner acquisition'!C7*MeanDurSTrel+'Partner acquisition'!C$22*('Partner acquisition'!C7*MeanDurSTrel)^2)</f>
        <v>157906.88184405857</v>
      </c>
      <c r="BJ18">
        <f>BA18/(1+'Partner acquisition'!B7*'Partner acquisition'!B$26*MeanDurSTrel)</f>
        <v>191469.99166392873</v>
      </c>
      <c r="BK18">
        <f>BB18/(1+'Partner acquisition'!C7*'Partner acquisition'!C$26*MeanDurSTrel)</f>
        <v>73879.13584184417</v>
      </c>
      <c r="BL18">
        <f>BA18*'Partner acquisition'!B7*'Partner acquisition'!B$26*MeanDurSTrel/(1+'Partner acquisition'!B7*'Partner acquisition'!B$26*MeanDurSTrel)</f>
        <v>375280.85021818354</v>
      </c>
      <c r="BM18">
        <f>BB18*'Partner acquisition'!C7*'Partner acquisition'!C$26*MeanDurSTrel/(1+'Partner acquisition'!C7*'Partner acquisition'!C$26*MeanDurSTrel)</f>
        <v>477228.04790224467</v>
      </c>
      <c r="BN18">
        <f>AU18/(1+'Partner acquisition'!B7*'Partner acquisition'!B$23*MeanDurSTrel)</f>
        <v>28491.29374397384</v>
      </c>
      <c r="BO18">
        <f>AV18/(1+'Partner acquisition'!C7*'Partner acquisition'!C$23*MeanDurSTrel)</f>
        <v>51119.96315169797</v>
      </c>
      <c r="BP18">
        <f t="shared" si="14"/>
        <v>120503.07005031889</v>
      </c>
      <c r="BQ18">
        <f t="shared" si="15"/>
        <v>93560.46175451111</v>
      </c>
      <c r="BS18">
        <f t="shared" si="16"/>
        <v>634.6261613230189</v>
      </c>
      <c r="BT18">
        <f t="shared" si="17"/>
        <v>67.10336122473322</v>
      </c>
      <c r="BU18">
        <f t="shared" si="18"/>
        <v>4016.4836409505297</v>
      </c>
      <c r="BV18">
        <f t="shared" si="19"/>
        <v>2295.0200264260066</v>
      </c>
      <c r="BW18">
        <f>'Sex work'!G22*SUM('Sex work'!E$19:E$34)/'Sex work'!H$13</f>
        <v>227.88842589919093</v>
      </c>
      <c r="BX18">
        <f t="shared" si="20"/>
        <v>28876.89357889404</v>
      </c>
      <c r="BY18">
        <f t="shared" si="21"/>
        <v>23354.06150265458</v>
      </c>
      <c r="BZ18">
        <f t="shared" si="22"/>
        <v>12556.269271611663</v>
      </c>
      <c r="CA18">
        <f t="shared" si="23"/>
        <v>3807.47880728897</v>
      </c>
      <c r="CB18">
        <f t="shared" si="24"/>
        <v>15722.329779448977</v>
      </c>
      <c r="CC18">
        <f t="shared" si="25"/>
        <v>34017.328420799015</v>
      </c>
      <c r="CD18">
        <f t="shared" si="26"/>
        <v>12768.963964524864</v>
      </c>
      <c r="CE18">
        <f t="shared" si="27"/>
        <v>17102.634730898957</v>
      </c>
      <c r="CF18">
        <f t="shared" si="28"/>
        <v>132872.44183681897</v>
      </c>
      <c r="CG18">
        <f t="shared" si="29"/>
        <v>116739.30602207751</v>
      </c>
      <c r="CH18">
        <f t="shared" si="30"/>
        <v>25122.05793764944</v>
      </c>
      <c r="CI18">
        <f t="shared" si="30"/>
        <v>3102.896270960865</v>
      </c>
      <c r="CJ18">
        <f t="shared" si="31"/>
        <v>115551.35970020466</v>
      </c>
      <c r="CK18">
        <f t="shared" si="32"/>
        <v>38064.679551020185</v>
      </c>
      <c r="CL18">
        <f t="shared" si="33"/>
        <v>46345.24988027875</v>
      </c>
      <c r="CM18">
        <f t="shared" si="34"/>
        <v>53531.57879816696</v>
      </c>
      <c r="CN18">
        <f t="shared" si="35"/>
        <v>20151.871092610625</v>
      </c>
      <c r="CO18">
        <f t="shared" si="36"/>
        <v>8727.404942886385</v>
      </c>
      <c r="CP18">
        <f t="shared" si="37"/>
        <v>37639.51233370706</v>
      </c>
      <c r="CQ18">
        <f t="shared" si="38"/>
        <v>26913.666688581183</v>
      </c>
      <c r="CR18">
        <f t="shared" si="39"/>
        <v>16366.436743722448</v>
      </c>
      <c r="CS18">
        <f t="shared" si="40"/>
        <v>4387.811324876581</v>
      </c>
      <c r="CU18">
        <f t="shared" si="41"/>
        <v>26847.974926013252</v>
      </c>
      <c r="CV18">
        <f t="shared" si="42"/>
        <v>11868.118158567553</v>
      </c>
      <c r="CW18">
        <f t="shared" si="43"/>
        <v>191469.99166392873</v>
      </c>
      <c r="CX18">
        <f t="shared" si="44"/>
        <v>73879.13584184417</v>
      </c>
      <c r="CY18">
        <f t="shared" si="45"/>
        <v>88524.6310219578</v>
      </c>
      <c r="CZ18">
        <f t="shared" si="46"/>
        <v>215497.100184627</v>
      </c>
      <c r="DA18">
        <f t="shared" si="47"/>
        <v>286756.21919622575</v>
      </c>
      <c r="DB18">
        <f t="shared" si="48"/>
        <v>261730.94771761767</v>
      </c>
      <c r="DC18">
        <f t="shared" si="49"/>
        <v>37470.30875183851</v>
      </c>
      <c r="DD18">
        <f t="shared" si="50"/>
        <v>87642.94970279974</v>
      </c>
      <c r="DE18">
        <f t="shared" si="51"/>
        <v>239233.5097232766</v>
      </c>
      <c r="DF18">
        <f t="shared" si="52"/>
        <v>346398.3250158275</v>
      </c>
    </row>
    <row r="19" spans="2:110" ht="12.75">
      <c r="B19">
        <v>14</v>
      </c>
      <c r="C19">
        <f>'Starting population'!B18*(H$5*EXP(-H$6*(B19-10))+(1-H$5)*EXP(-H$6*(B19-10)*H$10))</f>
        <v>337187.1678179477</v>
      </c>
      <c r="D19">
        <f>'Starting population'!C18*(I$5*EXP(-I$6*(B19-10))+(1-I$5)*EXP(-I$6*(B19-10)*I$10))</f>
        <v>312917.2816417616</v>
      </c>
      <c r="E19">
        <f>'Starting population'!B18-C19</f>
        <v>9212.342081413139</v>
      </c>
      <c r="F19">
        <f>'Starting population'!C18-D19</f>
        <v>41337.75375246949</v>
      </c>
      <c r="G19">
        <f>(1-G18)*Marriage!B$22+G18*(1-Divorce!B$22)</f>
        <v>0</v>
      </c>
      <c r="H19">
        <f>(1-H18)*Marriage!C$22+H18*(1-Divorce!C$22)</f>
        <v>0</v>
      </c>
      <c r="I19">
        <f>'Starting population'!B18*G19</f>
        <v>0</v>
      </c>
      <c r="J19">
        <f>'Starting population'!C18*H19</f>
        <v>0</v>
      </c>
      <c r="K19">
        <f t="shared" si="1"/>
        <v>9212.342081413139</v>
      </c>
      <c r="L19">
        <f t="shared" si="2"/>
        <v>41337.75375246949</v>
      </c>
      <c r="M19">
        <f>'Starting population'!B18*H$5*EXP(-H$6*(B19-10))</f>
        <v>116485.94679359626</v>
      </c>
      <c r="N19">
        <f>'Starting population'!C18*I$5*EXP(-I$6*(B19-10))</f>
        <v>72509.87297749647</v>
      </c>
      <c r="O19">
        <f t="shared" si="3"/>
        <v>220701.22102435143</v>
      </c>
      <c r="P19">
        <f t="shared" si="4"/>
        <v>240407.40866426512</v>
      </c>
      <c r="Q19">
        <f>H$5*'Starting population'!B18-M19</f>
        <v>4753.881671180017</v>
      </c>
      <c r="R19">
        <f>I$5*'Starting population'!C18-N19</f>
        <v>16053.885871061299</v>
      </c>
      <c r="S19">
        <f>(1-H$5)*'Starting population'!B18-O19</f>
        <v>4458.460410233121</v>
      </c>
      <c r="T19">
        <f>(1-I$5)*'Starting population'!C18-P19</f>
        <v>25283.867881408194</v>
      </c>
      <c r="U19">
        <f t="shared" si="5"/>
        <v>0</v>
      </c>
      <c r="V19">
        <f t="shared" si="6"/>
        <v>0</v>
      </c>
      <c r="W19">
        <f t="shared" si="7"/>
        <v>0</v>
      </c>
      <c r="X19">
        <f t="shared" si="8"/>
        <v>0</v>
      </c>
      <c r="Y19">
        <f t="shared" si="9"/>
        <v>4753.881671180017</v>
      </c>
      <c r="Z19">
        <f t="shared" si="10"/>
        <v>16053.885871061299</v>
      </c>
      <c r="AA19">
        <f t="shared" si="11"/>
        <v>4458.460410233121</v>
      </c>
      <c r="AB19">
        <f t="shared" si="12"/>
        <v>25283.867881408194</v>
      </c>
      <c r="AD19" t="s">
        <v>4</v>
      </c>
      <c r="AE19">
        <f>SUM(C35:C39)</f>
        <v>0</v>
      </c>
      <c r="AF19">
        <f>SUM(D35:D39)</f>
        <v>0</v>
      </c>
      <c r="AG19">
        <f>SUM(E35:E39)</f>
        <v>1088059.5659005416</v>
      </c>
      <c r="AH19">
        <f>SUM(F35:F39)</f>
        <v>1092806.0270058708</v>
      </c>
      <c r="AI19">
        <f aca="true" t="shared" si="55" ref="AI19:BB19">SUM(I35:I39)</f>
        <v>629273.6689143084</v>
      </c>
      <c r="AJ19">
        <f t="shared" si="55"/>
        <v>642266.3196728828</v>
      </c>
      <c r="AK19">
        <f t="shared" si="55"/>
        <v>458785.8969862333</v>
      </c>
      <c r="AL19">
        <f t="shared" si="55"/>
        <v>450539.70733298804</v>
      </c>
      <c r="AM19">
        <f t="shared" si="55"/>
        <v>0</v>
      </c>
      <c r="AN19">
        <f t="shared" si="55"/>
        <v>0</v>
      </c>
      <c r="AO19">
        <f t="shared" si="55"/>
        <v>0</v>
      </c>
      <c r="AP19">
        <f t="shared" si="55"/>
        <v>0</v>
      </c>
      <c r="AQ19">
        <f t="shared" si="55"/>
        <v>380820.84806518955</v>
      </c>
      <c r="AR19">
        <f t="shared" si="55"/>
        <v>273201.5067514677</v>
      </c>
      <c r="AS19">
        <f t="shared" si="55"/>
        <v>707238.717835352</v>
      </c>
      <c r="AT19">
        <f t="shared" si="55"/>
        <v>819604.5202544031</v>
      </c>
      <c r="AU19">
        <f t="shared" si="55"/>
        <v>220245.7841200079</v>
      </c>
      <c r="AV19">
        <f t="shared" si="55"/>
        <v>160566.5799182207</v>
      </c>
      <c r="AW19">
        <f t="shared" si="55"/>
        <v>409027.8847943005</v>
      </c>
      <c r="AX19">
        <f t="shared" si="55"/>
        <v>481699.7397546621</v>
      </c>
      <c r="AY19">
        <f t="shared" si="55"/>
        <v>160575.06394518164</v>
      </c>
      <c r="AZ19">
        <f t="shared" si="55"/>
        <v>112634.92683324701</v>
      </c>
      <c r="BA19">
        <f t="shared" si="55"/>
        <v>298210.83304105164</v>
      </c>
      <c r="BB19">
        <f t="shared" si="55"/>
        <v>337904.780499741</v>
      </c>
      <c r="BD19">
        <f>AY19/(1+'Partner acquisition'!B8*MeanDurSTrel+'Partner acquisition'!B$22*('Partner acquisition'!B8*MeanDurSTrel)^2)</f>
        <v>1999.849900215714</v>
      </c>
      <c r="BE19">
        <f>AZ19/(1+'Partner acquisition'!C8*MeanDurSTrel+'Partner acquisition'!C$22*('Partner acquisition'!C8*MeanDurSTrel)^2)</f>
        <v>2823.899687928938</v>
      </c>
      <c r="BF19">
        <f>AY19*'Partner acquisition'!B8*MeanDurSTrel/(1+'Partner acquisition'!B8*MeanDurSTrel+'Partner acquisition'!B$22*('Partner acquisition'!B8*MeanDurSTrel)^2)</f>
        <v>20752.441775409436</v>
      </c>
      <c r="BG19">
        <f>AZ19*'Partner acquisition'!C8*MeanDurSTrel/(1+'Partner acquisition'!C8*MeanDurSTrel+'Partner acquisition'!C$22*('Partner acquisition'!C8*MeanDurSTrel)^2)</f>
        <v>21491.03200995751</v>
      </c>
      <c r="BH19">
        <f>AY19*'Partner acquisition'!B$22*(('Partner acquisition'!B8*MeanDurSTrel)^2)/(1+'Partner acquisition'!B8*MeanDurSTrel+'Partner acquisition'!B$22*('Partner acquisition'!B8*MeanDurSTrel)^2)</f>
        <v>137822.77226955647</v>
      </c>
      <c r="BI19">
        <f>AZ19*'Partner acquisition'!C$22*(('Partner acquisition'!C8*MeanDurSTrel)^2)/(1+'Partner acquisition'!C8*MeanDurSTrel+'Partner acquisition'!C$22*('Partner acquisition'!C8*MeanDurSTrel)^2)</f>
        <v>88319.99513536056</v>
      </c>
      <c r="BJ19">
        <f>BA19/(1+'Partner acquisition'!B8*'Partner acquisition'!B$26*MeanDurSTrel)</f>
        <v>100352.61426713437</v>
      </c>
      <c r="BK19">
        <f>BB19/(1+'Partner acquisition'!C8*'Partner acquisition'!C$26*MeanDurSTrel)</f>
        <v>60706.05065551136</v>
      </c>
      <c r="BL19">
        <f>BA19*'Partner acquisition'!B8*'Partner acquisition'!B$26*MeanDurSTrel/(1+'Partner acquisition'!B8*'Partner acquisition'!B$26*MeanDurSTrel)</f>
        <v>197858.2187739173</v>
      </c>
      <c r="BM19">
        <f>BB19*'Partner acquisition'!C8*'Partner acquisition'!C$26*MeanDurSTrel/(1+'Partner acquisition'!C8*'Partner acquisition'!C$26*MeanDurSTrel)</f>
        <v>277198.7298442297</v>
      </c>
      <c r="BN19">
        <f>AU19/(1+'Partner acquisition'!B8*'Partner acquisition'!B$23*MeanDurSTrel)</f>
        <v>41915.09288337512</v>
      </c>
      <c r="BO19">
        <f>AV19/(1+'Partner acquisition'!C8*'Partner acquisition'!C$23*MeanDurSTrel)</f>
        <v>70001.18193700488</v>
      </c>
      <c r="BP19">
        <f t="shared" si="14"/>
        <v>178330.6912366328</v>
      </c>
      <c r="BQ19">
        <f t="shared" si="15"/>
        <v>90565.39798121582</v>
      </c>
      <c r="BS19">
        <f t="shared" si="16"/>
        <v>0</v>
      </c>
      <c r="BT19">
        <f t="shared" si="17"/>
        <v>0</v>
      </c>
      <c r="BU19">
        <f t="shared" si="18"/>
        <v>1999.849900215714</v>
      </c>
      <c r="BV19">
        <f t="shared" si="19"/>
        <v>2733.4361217193127</v>
      </c>
      <c r="BW19">
        <f>'Sex work'!G23*SUM('Sex work'!E$19:E$34)/'Sex work'!H$13</f>
        <v>90.46356620962541</v>
      </c>
      <c r="BX19">
        <f t="shared" si="20"/>
        <v>14463.439704395605</v>
      </c>
      <c r="BY19">
        <f t="shared" si="21"/>
        <v>18478.439646234816</v>
      </c>
      <c r="BZ19">
        <f t="shared" si="22"/>
        <v>6289.002071013831</v>
      </c>
      <c r="CA19">
        <f t="shared" si="23"/>
        <v>3012.5923637226947</v>
      </c>
      <c r="CB19">
        <f t="shared" si="24"/>
        <v>23129.97503625273</v>
      </c>
      <c r="CC19">
        <f t="shared" si="25"/>
        <v>46581.66886249221</v>
      </c>
      <c r="CD19">
        <f t="shared" si="26"/>
        <v>18785.117847122387</v>
      </c>
      <c r="CE19">
        <f t="shared" si="27"/>
        <v>23419.513074512663</v>
      </c>
      <c r="CF19">
        <f t="shared" si="28"/>
        <v>66946.17248948463</v>
      </c>
      <c r="CG19">
        <f t="shared" si="29"/>
        <v>65294.27229243457</v>
      </c>
      <c r="CH19">
        <f t="shared" si="30"/>
        <v>12657.44499563093</v>
      </c>
      <c r="CI19">
        <f t="shared" si="30"/>
        <v>1735.502470547349</v>
      </c>
      <c r="CJ19">
        <f t="shared" si="31"/>
        <v>58219.154784440914</v>
      </c>
      <c r="CK19">
        <f t="shared" si="32"/>
        <v>21290.220372378633</v>
      </c>
      <c r="CL19">
        <f t="shared" si="33"/>
        <v>68585.64220175827</v>
      </c>
      <c r="CM19">
        <f t="shared" si="34"/>
        <v>51817.92230931405</v>
      </c>
      <c r="CN19">
        <f t="shared" si="35"/>
        <v>29822.452657481164</v>
      </c>
      <c r="CO19">
        <f t="shared" si="36"/>
        <v>8448.022670833236</v>
      </c>
      <c r="CP19">
        <f t="shared" si="37"/>
        <v>55702.15140142799</v>
      </c>
      <c r="CQ19">
        <f t="shared" si="38"/>
        <v>26052.104586450714</v>
      </c>
      <c r="CR19">
        <f t="shared" si="39"/>
        <v>24220.444975965373</v>
      </c>
      <c r="CS19">
        <f t="shared" si="40"/>
        <v>4247.348414617815</v>
      </c>
      <c r="CU19">
        <f t="shared" si="41"/>
        <v>0</v>
      </c>
      <c r="CV19">
        <f t="shared" si="42"/>
        <v>0</v>
      </c>
      <c r="CW19">
        <f t="shared" si="43"/>
        <v>100352.61426713437</v>
      </c>
      <c r="CX19">
        <f t="shared" si="44"/>
        <v>60706.05065551136</v>
      </c>
      <c r="CY19">
        <f t="shared" si="45"/>
        <v>46672.58081897769</v>
      </c>
      <c r="CZ19">
        <f t="shared" si="46"/>
        <v>125171.86011776394</v>
      </c>
      <c r="DA19">
        <f t="shared" si="47"/>
        <v>151185.6379549396</v>
      </c>
      <c r="DB19">
        <f t="shared" si="48"/>
        <v>152026.86972646575</v>
      </c>
      <c r="DC19">
        <f t="shared" si="49"/>
        <v>55389.19273256153</v>
      </c>
      <c r="DD19">
        <f t="shared" si="50"/>
        <v>97266.29360430679</v>
      </c>
      <c r="DE19">
        <f t="shared" si="51"/>
        <v>353638.6920617389</v>
      </c>
      <c r="DF19">
        <f t="shared" si="52"/>
        <v>384433.4461503553</v>
      </c>
    </row>
    <row r="20" spans="2:110" ht="12.75">
      <c r="B20">
        <v>15</v>
      </c>
      <c r="C20">
        <f>'Starting population'!B19*(H$5*EXP(-H$6*(B20-10))+(1-H$5)*EXP(-H$6*(B20-10)*H$10))</f>
        <v>323702.0646966105</v>
      </c>
      <c r="D20">
        <f>'Starting population'!C19*(I$5*EXP(-I$6*(B20-10))+(1-I$5)*EXP(-I$6*(B20-10)*I$10))</f>
        <v>292611.2107653163</v>
      </c>
      <c r="E20">
        <f>'Starting population'!B19-C20</f>
        <v>11087.652430558985</v>
      </c>
      <c r="F20">
        <f>'Starting population'!C19-D20</f>
        <v>48995.69751888636</v>
      </c>
      <c r="G20">
        <f>(1-G19)*Marriage!B$22+G19*(1-Divorce!B$22)</f>
        <v>0</v>
      </c>
      <c r="H20">
        <f>(1-H19)*Marriage!C$22+H19*(1-Divorce!C$22)</f>
        <v>0</v>
      </c>
      <c r="I20">
        <f>'Starting population'!B19*G20</f>
        <v>0</v>
      </c>
      <c r="J20">
        <f>'Starting population'!C19*H20</f>
        <v>0</v>
      </c>
      <c r="K20">
        <f t="shared" si="1"/>
        <v>11087.652430558985</v>
      </c>
      <c r="L20">
        <f t="shared" si="2"/>
        <v>48995.69751888636</v>
      </c>
      <c r="M20">
        <f>'Starting population'!B19*H$5*EXP(-H$6*(B20-10))</f>
        <v>111461.64048307198</v>
      </c>
      <c r="N20">
        <f>'Starting population'!C19*I$5*EXP(-I$6*(B20-10))</f>
        <v>66510.93191858465</v>
      </c>
      <c r="O20">
        <f t="shared" si="3"/>
        <v>212240.42421353853</v>
      </c>
      <c r="P20">
        <f t="shared" si="4"/>
        <v>226100.27884673167</v>
      </c>
      <c r="Q20">
        <f>H$5*'Starting population'!B19-M20</f>
        <v>5714.760511437329</v>
      </c>
      <c r="R20">
        <f>I$5*'Starting population'!C19-N20</f>
        <v>18890.795152466017</v>
      </c>
      <c r="S20">
        <f>(1-H$5)*'Starting population'!B19-O20</f>
        <v>5372.891919121641</v>
      </c>
      <c r="T20">
        <f>(1-I$5)*'Starting population'!C19-P20</f>
        <v>30104.90236642034</v>
      </c>
      <c r="U20">
        <f t="shared" si="5"/>
        <v>0</v>
      </c>
      <c r="V20">
        <f t="shared" si="6"/>
        <v>0</v>
      </c>
      <c r="W20">
        <f t="shared" si="7"/>
        <v>0</v>
      </c>
      <c r="X20">
        <f t="shared" si="8"/>
        <v>0</v>
      </c>
      <c r="Y20">
        <f t="shared" si="9"/>
        <v>5714.760511437329</v>
      </c>
      <c r="Z20">
        <f t="shared" si="10"/>
        <v>18890.795152466017</v>
      </c>
      <c r="AA20">
        <f t="shared" si="11"/>
        <v>5372.891919121641</v>
      </c>
      <c r="AB20">
        <f t="shared" si="12"/>
        <v>30104.90236642034</v>
      </c>
      <c r="AD20" t="s">
        <v>5</v>
      </c>
      <c r="AE20">
        <f>SUM(C40:C44)</f>
        <v>0</v>
      </c>
      <c r="AF20">
        <f>SUM(D40:D44)</f>
        <v>0</v>
      </c>
      <c r="AG20">
        <f>SUM(E40:E44)</f>
        <v>869449.2255450437</v>
      </c>
      <c r="AH20">
        <f>SUM(F40:F44)</f>
        <v>867707.2184471233</v>
      </c>
      <c r="AI20">
        <f aca="true" t="shared" si="56" ref="AI20:BB20">SUM(I40:I44)</f>
        <v>615105.4296117288</v>
      </c>
      <c r="AJ20">
        <f t="shared" si="56"/>
        <v>567985.8136027241</v>
      </c>
      <c r="AK20">
        <f t="shared" si="56"/>
        <v>254343.79593331512</v>
      </c>
      <c r="AL20">
        <f t="shared" si="56"/>
        <v>299721.4048443992</v>
      </c>
      <c r="AM20">
        <f t="shared" si="56"/>
        <v>0</v>
      </c>
      <c r="AN20">
        <f t="shared" si="56"/>
        <v>0</v>
      </c>
      <c r="AO20">
        <f t="shared" si="56"/>
        <v>0</v>
      </c>
      <c r="AP20">
        <f t="shared" si="56"/>
        <v>0</v>
      </c>
      <c r="AQ20">
        <f t="shared" si="56"/>
        <v>304307.22894076526</v>
      </c>
      <c r="AR20">
        <f t="shared" si="56"/>
        <v>216926.80461178083</v>
      </c>
      <c r="AS20">
        <f t="shared" si="56"/>
        <v>565141.9966042786</v>
      </c>
      <c r="AT20">
        <f t="shared" si="56"/>
        <v>650780.4138353424</v>
      </c>
      <c r="AU20">
        <f t="shared" si="56"/>
        <v>215286.90036410504</v>
      </c>
      <c r="AV20">
        <f t="shared" si="56"/>
        <v>141996.45340068103</v>
      </c>
      <c r="AW20">
        <f t="shared" si="56"/>
        <v>399818.52924762364</v>
      </c>
      <c r="AX20">
        <f t="shared" si="56"/>
        <v>425989.3602020431</v>
      </c>
      <c r="AY20">
        <f t="shared" si="56"/>
        <v>89020.32857666028</v>
      </c>
      <c r="AZ20">
        <f t="shared" si="56"/>
        <v>74930.3512110998</v>
      </c>
      <c r="BA20">
        <f t="shared" si="56"/>
        <v>165323.46735665484</v>
      </c>
      <c r="BB20">
        <f t="shared" si="56"/>
        <v>224791.05363329942</v>
      </c>
      <c r="BD20">
        <f>AY20/(1+'Partner acquisition'!B9*MeanDurSTrel+'Partner acquisition'!B$22*('Partner acquisition'!B9*MeanDurSTrel)^2)</f>
        <v>1446.4516390959425</v>
      </c>
      <c r="BE20">
        <f>AZ20/(1+'Partner acquisition'!C9*MeanDurSTrel+'Partner acquisition'!C$22*('Partner acquisition'!C9*MeanDurSTrel)^2)</f>
        <v>4418.129466284003</v>
      </c>
      <c r="BF20">
        <f>AY20*'Partner acquisition'!B9*MeanDurSTrel/(1+'Partner acquisition'!B9*MeanDurSTrel+'Partner acquisition'!B$22*('Partner acquisition'!B9*MeanDurSTrel)^2)</f>
        <v>12983.818769519774</v>
      </c>
      <c r="BG20">
        <f>AZ20*'Partner acquisition'!C9*MeanDurSTrel/(1+'Partner acquisition'!C9*MeanDurSTrel+'Partner acquisition'!C$22*('Partner acquisition'!C9*MeanDurSTrel)^2)</f>
        <v>20274.001017877534</v>
      </c>
      <c r="BH20">
        <f>AY20*'Partner acquisition'!B$22*(('Partner acquisition'!B9*MeanDurSTrel)^2)/(1+'Partner acquisition'!B9*MeanDurSTrel+'Partner acquisition'!B$22*('Partner acquisition'!B9*MeanDurSTrel)^2)</f>
        <v>74590.05816804456</v>
      </c>
      <c r="BI20">
        <f>AZ20*'Partner acquisition'!C$22*(('Partner acquisition'!C9*MeanDurSTrel)^2)/(1+'Partner acquisition'!C9*MeanDurSTrel+'Partner acquisition'!C$22*('Partner acquisition'!C9*MeanDurSTrel)^2)</f>
        <v>50238.220726938256</v>
      </c>
      <c r="BJ20">
        <f>BA20/(1+'Partner acquisition'!B9*'Partner acquisition'!B$26*MeanDurSTrel)</f>
        <v>61106.401911603825</v>
      </c>
      <c r="BK20">
        <f>BB20/(1+'Partner acquisition'!C9*'Partner acquisition'!C$26*MeanDurSTrel)</f>
        <v>59891.70369069234</v>
      </c>
      <c r="BL20">
        <f>BA20*'Partner acquisition'!B9*'Partner acquisition'!B$26*MeanDurSTrel/(1+'Partner acquisition'!B9*'Partner acquisition'!B$26*MeanDurSTrel)</f>
        <v>104217.06544505102</v>
      </c>
      <c r="BM20">
        <f>BB20*'Partner acquisition'!C9*'Partner acquisition'!C$26*MeanDurSTrel/(1+'Partner acquisition'!C9*'Partner acquisition'!C$26*MeanDurSTrel)</f>
        <v>164899.34994260708</v>
      </c>
      <c r="BN20">
        <f>AU20/(1+'Partner acquisition'!B9*'Partner acquisition'!B$23*MeanDurSTrel)</f>
        <v>45998.5956070095</v>
      </c>
      <c r="BO20">
        <f>AV20/(1+'Partner acquisition'!C9*'Partner acquisition'!C$23*MeanDurSTrel)</f>
        <v>79768.83364397938</v>
      </c>
      <c r="BP20">
        <f t="shared" si="14"/>
        <v>169288.30475709552</v>
      </c>
      <c r="BQ20">
        <f t="shared" si="15"/>
        <v>62227.61975670165</v>
      </c>
      <c r="BS20">
        <f t="shared" si="16"/>
        <v>0</v>
      </c>
      <c r="BT20">
        <f t="shared" si="17"/>
        <v>0</v>
      </c>
      <c r="BU20">
        <f t="shared" si="18"/>
        <v>1446.4516390959425</v>
      </c>
      <c r="BV20">
        <f t="shared" si="19"/>
        <v>4387.974944214127</v>
      </c>
      <c r="BW20">
        <f>'Sex work'!G24*SUM('Sex work'!E$19:E$34)/'Sex work'!H$13</f>
        <v>30.154522069875135</v>
      </c>
      <c r="BX20">
        <f t="shared" si="20"/>
        <v>9049.088388638265</v>
      </c>
      <c r="BY20">
        <f t="shared" si="21"/>
        <v>17432.01089752106</v>
      </c>
      <c r="BZ20">
        <f t="shared" si="22"/>
        <v>3934.730380881509</v>
      </c>
      <c r="CA20">
        <f t="shared" si="23"/>
        <v>2841.990120356475</v>
      </c>
      <c r="CB20">
        <f t="shared" si="24"/>
        <v>25383.371356307067</v>
      </c>
      <c r="CC20">
        <f t="shared" si="25"/>
        <v>53081.46650573627</v>
      </c>
      <c r="CD20">
        <f t="shared" si="26"/>
        <v>20615.22425070243</v>
      </c>
      <c r="CE20">
        <f t="shared" si="27"/>
        <v>26687.367138243102</v>
      </c>
      <c r="CF20">
        <f t="shared" si="28"/>
        <v>36231.45012895388</v>
      </c>
      <c r="CG20">
        <f t="shared" si="29"/>
        <v>37140.71834588247</v>
      </c>
      <c r="CH20">
        <f t="shared" si="30"/>
        <v>6850.243562336767</v>
      </c>
      <c r="CI20">
        <f t="shared" si="30"/>
        <v>987.189322801455</v>
      </c>
      <c r="CJ20">
        <f t="shared" si="31"/>
        <v>31508.36447675391</v>
      </c>
      <c r="CK20">
        <f t="shared" si="32"/>
        <v>12110.313058254325</v>
      </c>
      <c r="CL20">
        <f t="shared" si="33"/>
        <v>65107.95768522921</v>
      </c>
      <c r="CM20">
        <f t="shared" si="34"/>
        <v>35604.171548112645</v>
      </c>
      <c r="CN20">
        <f t="shared" si="35"/>
        <v>28310.283659387507</v>
      </c>
      <c r="CO20">
        <f t="shared" si="36"/>
        <v>5804.648951751322</v>
      </c>
      <c r="CP20">
        <f t="shared" si="37"/>
        <v>52877.733589661315</v>
      </c>
      <c r="CQ20">
        <f t="shared" si="38"/>
        <v>17900.43983910636</v>
      </c>
      <c r="CR20">
        <f t="shared" si="39"/>
        <v>22992.32982281749</v>
      </c>
      <c r="CS20">
        <f t="shared" si="40"/>
        <v>2918.359417731328</v>
      </c>
      <c r="CU20">
        <f t="shared" si="41"/>
        <v>0</v>
      </c>
      <c r="CV20">
        <f t="shared" si="42"/>
        <v>0</v>
      </c>
      <c r="CW20">
        <f t="shared" si="43"/>
        <v>61106.401911603825</v>
      </c>
      <c r="CX20">
        <f t="shared" si="44"/>
        <v>59891.70369069234</v>
      </c>
      <c r="CY20">
        <f t="shared" si="45"/>
        <v>24583.66116829734</v>
      </c>
      <c r="CZ20">
        <f t="shared" si="46"/>
        <v>74461.95145311517</v>
      </c>
      <c r="DA20">
        <f t="shared" si="47"/>
        <v>79633.40427675367</v>
      </c>
      <c r="DB20">
        <f t="shared" si="48"/>
        <v>90437.39848949191</v>
      </c>
      <c r="DC20">
        <f t="shared" si="49"/>
        <v>54142.09250228237</v>
      </c>
      <c r="DD20">
        <f t="shared" si="50"/>
        <v>86017.08234848948</v>
      </c>
      <c r="DE20">
        <f t="shared" si="51"/>
        <v>345676.4367453412</v>
      </c>
      <c r="DF20">
        <f t="shared" si="52"/>
        <v>339972.2778535536</v>
      </c>
    </row>
    <row r="21" spans="2:110" ht="12.75">
      <c r="B21">
        <v>16</v>
      </c>
      <c r="C21">
        <f>'Starting population'!B20*(H$5*EXP(-H$6*5-H$7*(B21-15))+(1-H$5)*EXP(-(H$6*5+H$7*(B21-15))*H$10))</f>
        <v>263820.4335611619</v>
      </c>
      <c r="D21">
        <f>'Starting population'!C20*(I$5*EXP(-I$6*5-I$7*(B21-15))+(1-I$5)*EXP(-(I$6*5+I$7*(B21-15))*I$10))</f>
        <v>208081.85174897296</v>
      </c>
      <c r="E21">
        <f>'Starting population'!B20-C21</f>
        <v>62671.567801654804</v>
      </c>
      <c r="F21">
        <f>'Starting population'!C20-D21</f>
        <v>124268.82982695021</v>
      </c>
      <c r="G21">
        <f>(1-G20)*Marriage!B$23+G20*(1-Divorce!B$23)</f>
        <v>0.0040000000000000036</v>
      </c>
      <c r="H21">
        <f>(1-H20)*Marriage!C$23+H20*(1-Divorce!C$23)</f>
        <v>0.020000000000000018</v>
      </c>
      <c r="I21">
        <f>'Starting population'!B20*G21</f>
        <v>1305.968005451268</v>
      </c>
      <c r="J21">
        <f>'Starting population'!C20*H21</f>
        <v>6647.013631518469</v>
      </c>
      <c r="K21">
        <f t="shared" si="1"/>
        <v>61365.59979620354</v>
      </c>
      <c r="L21">
        <f t="shared" si="2"/>
        <v>117621.81619543175</v>
      </c>
      <c r="M21">
        <f>'Starting population'!B20*H$5*EXP(-H$6*5-H$7*(B21-15))</f>
        <v>82978.64834065504</v>
      </c>
      <c r="N21">
        <f>'Starting population'!C20*I$5*EXP(-I$6*5-I$7*(B21-15))</f>
        <v>38470.67720794903</v>
      </c>
      <c r="O21">
        <f t="shared" si="3"/>
        <v>180841.7852205069</v>
      </c>
      <c r="P21">
        <f t="shared" si="4"/>
        <v>169611.1745410239</v>
      </c>
      <c r="Q21">
        <f>H$5*'Starting population'!B20-M21</f>
        <v>31293.552136330807</v>
      </c>
      <c r="R21">
        <f>I$5*'Starting population'!C20-N21</f>
        <v>44616.99318603176</v>
      </c>
      <c r="S21">
        <f>(1-H$5)*'Starting population'!B20-O21</f>
        <v>31378.015665323997</v>
      </c>
      <c r="T21">
        <f>(1-I$5)*'Starting population'!C20-P21</f>
        <v>79651.83664091845</v>
      </c>
      <c r="U21">
        <f t="shared" si="5"/>
        <v>457.0888019079438</v>
      </c>
      <c r="V21">
        <f t="shared" si="6"/>
        <v>1661.7534078796173</v>
      </c>
      <c r="W21">
        <f t="shared" si="7"/>
        <v>848.8792035433243</v>
      </c>
      <c r="X21">
        <f t="shared" si="8"/>
        <v>4985.260223638852</v>
      </c>
      <c r="Y21">
        <f t="shared" si="9"/>
        <v>30836.463334422864</v>
      </c>
      <c r="Z21">
        <f t="shared" si="10"/>
        <v>42955.23977815214</v>
      </c>
      <c r="AA21">
        <f t="shared" si="11"/>
        <v>30529.136461780672</v>
      </c>
      <c r="AB21">
        <f t="shared" si="12"/>
        <v>74666.5764172796</v>
      </c>
      <c r="AD21" t="s">
        <v>6</v>
      </c>
      <c r="AE21">
        <f>SUM(C45:C49)</f>
        <v>0</v>
      </c>
      <c r="AF21">
        <f>SUM(D45:D49)</f>
        <v>0</v>
      </c>
      <c r="AG21">
        <f>SUM(E45:E49)</f>
        <v>683749.7612593463</v>
      </c>
      <c r="AH21">
        <f>SUM(F45:F49)</f>
        <v>709301.4356190546</v>
      </c>
      <c r="AI21">
        <f aca="true" t="shared" si="57" ref="AI21:BB21">SUM(I45:I49)</f>
        <v>523470.81861643255</v>
      </c>
      <c r="AJ21">
        <f t="shared" si="57"/>
        <v>479787.721280069</v>
      </c>
      <c r="AK21">
        <f t="shared" si="57"/>
        <v>160278.9426429137</v>
      </c>
      <c r="AL21">
        <f t="shared" si="57"/>
        <v>229513.71433898565</v>
      </c>
      <c r="AM21">
        <f t="shared" si="57"/>
        <v>0</v>
      </c>
      <c r="AN21">
        <f t="shared" si="57"/>
        <v>0</v>
      </c>
      <c r="AO21">
        <f t="shared" si="57"/>
        <v>0</v>
      </c>
      <c r="AP21">
        <f t="shared" si="57"/>
        <v>0</v>
      </c>
      <c r="AQ21">
        <f t="shared" si="57"/>
        <v>239312.41644077117</v>
      </c>
      <c r="AR21">
        <f t="shared" si="57"/>
        <v>177325.35890476365</v>
      </c>
      <c r="AS21">
        <f t="shared" si="57"/>
        <v>444437.3448185751</v>
      </c>
      <c r="AT21">
        <f t="shared" si="57"/>
        <v>531976.0767142909</v>
      </c>
      <c r="AU21">
        <f t="shared" si="57"/>
        <v>183214.7865157514</v>
      </c>
      <c r="AV21">
        <f t="shared" si="57"/>
        <v>119946.93032001724</v>
      </c>
      <c r="AW21">
        <f t="shared" si="57"/>
        <v>340256.03210068116</v>
      </c>
      <c r="AX21">
        <f t="shared" si="57"/>
        <v>359840.7909600517</v>
      </c>
      <c r="AY21">
        <f t="shared" si="57"/>
        <v>56097.629925019784</v>
      </c>
      <c r="AZ21">
        <f t="shared" si="57"/>
        <v>57378.42858474641</v>
      </c>
      <c r="BA21">
        <f t="shared" si="57"/>
        <v>104181.3127178939</v>
      </c>
      <c r="BB21">
        <f t="shared" si="57"/>
        <v>172135.28575423924</v>
      </c>
      <c r="BD21">
        <f>AY21/(1+'Partner acquisition'!B10*MeanDurSTrel+'Partner acquisition'!B$22*('Partner acquisition'!B10*MeanDurSTrel)^2)</f>
        <v>1416.4302216421331</v>
      </c>
      <c r="BE21">
        <f>AZ21/(1+'Partner acquisition'!C10*MeanDurSTrel+'Partner acquisition'!C$22*('Partner acquisition'!C10*MeanDurSTrel)^2)</f>
        <v>8392.286073027959</v>
      </c>
      <c r="BF21">
        <f>AY21*'Partner acquisition'!B10*MeanDurSTrel/(1+'Partner acquisition'!B10*MeanDurSTrel+'Partner acquisition'!B$22*('Partner acquisition'!B10*MeanDurSTrel)^2)</f>
        <v>9949.789653218779</v>
      </c>
      <c r="BG21">
        <f>AZ21*'Partner acquisition'!C10*MeanDurSTrel/(1+'Partner acquisition'!C10*MeanDurSTrel+'Partner acquisition'!C$22*('Partner acquisition'!C10*MeanDurSTrel)^2)</f>
        <v>20894.494505021652</v>
      </c>
      <c r="BH21">
        <f>AY21*'Partner acquisition'!B$22*(('Partner acquisition'!B10*MeanDurSTrel)^2)/(1+'Partner acquisition'!B10*MeanDurSTrel+'Partner acquisition'!B$22*('Partner acquisition'!B10*MeanDurSTrel)^2)</f>
        <v>44731.41005015887</v>
      </c>
      <c r="BI21">
        <f>AZ21*'Partner acquisition'!C$22*(('Partner acquisition'!C10*MeanDurSTrel)^2)/(1+'Partner acquisition'!C10*MeanDurSTrel+'Partner acquisition'!C$22*('Partner acquisition'!C10*MeanDurSTrel)^2)</f>
        <v>28091.648006696807</v>
      </c>
      <c r="BJ21">
        <f>BA21/(1+'Partner acquisition'!B10*'Partner acquisition'!B$26*MeanDurSTrel)</f>
        <v>44623.66406239929</v>
      </c>
      <c r="BK21">
        <f>BB21/(1+'Partner acquisition'!C10*'Partner acquisition'!C$26*MeanDurSTrel)</f>
        <v>69024.30838472222</v>
      </c>
      <c r="BL21">
        <f>BA21*'Partner acquisition'!B10*'Partner acquisition'!B$26*MeanDurSTrel/(1+'Partner acquisition'!B10*'Partner acquisition'!B$26*MeanDurSTrel)</f>
        <v>59557.64865549461</v>
      </c>
      <c r="BM21">
        <f>BB21*'Partner acquisition'!C10*'Partner acquisition'!C$26*MeanDurSTrel/(1+'Partner acquisition'!C10*'Partner acquisition'!C$26*MeanDurSTrel)</f>
        <v>103110.97736951704</v>
      </c>
      <c r="BN21">
        <f>AU21/(1+'Partner acquisition'!B10*'Partner acquisition'!B$23*MeanDurSTrel)</f>
        <v>47219.491972920565</v>
      </c>
      <c r="BO21">
        <f>AV21/(1+'Partner acquisition'!C10*'Partner acquisition'!C$23*MeanDurSTrel)</f>
        <v>84276.57772274477</v>
      </c>
      <c r="BP21">
        <f t="shared" si="14"/>
        <v>135995.29454283082</v>
      </c>
      <c r="BQ21">
        <f t="shared" si="15"/>
        <v>35670.352597272475</v>
      </c>
      <c r="BS21">
        <f t="shared" si="16"/>
        <v>0</v>
      </c>
      <c r="BT21">
        <f t="shared" si="17"/>
        <v>0</v>
      </c>
      <c r="BU21">
        <f t="shared" si="18"/>
        <v>1416.4302216421331</v>
      </c>
      <c r="BV21">
        <f t="shared" si="19"/>
        <v>8386.75163982755</v>
      </c>
      <c r="BW21">
        <f>'Sex work'!G25*SUM('Sex work'!E$19:E$34)/'Sex work'!H$13</f>
        <v>5.534433200408895</v>
      </c>
      <c r="BX21">
        <f t="shared" si="20"/>
        <v>6934.518081205883</v>
      </c>
      <c r="BY21">
        <f t="shared" si="21"/>
        <v>17965.524199616644</v>
      </c>
      <c r="BZ21">
        <f t="shared" si="22"/>
        <v>3015.2715720128954</v>
      </c>
      <c r="CA21">
        <f t="shared" si="23"/>
        <v>2928.9703054050074</v>
      </c>
      <c r="CB21">
        <f t="shared" si="24"/>
        <v>26057.09770456897</v>
      </c>
      <c r="CC21">
        <f t="shared" si="25"/>
        <v>56081.105028738246</v>
      </c>
      <c r="CD21">
        <f t="shared" si="26"/>
        <v>21162.394268351596</v>
      </c>
      <c r="CE21">
        <f t="shared" si="27"/>
        <v>28195.472694006523</v>
      </c>
      <c r="CF21">
        <f t="shared" si="28"/>
        <v>21727.88025957649</v>
      </c>
      <c r="CG21">
        <f t="shared" si="29"/>
        <v>20767.932689322835</v>
      </c>
      <c r="CH21">
        <f t="shared" si="30"/>
        <v>4108.068303687449</v>
      </c>
      <c r="CI21">
        <f t="shared" si="30"/>
        <v>552.0055163346539</v>
      </c>
      <c r="CJ21">
        <f t="shared" si="31"/>
        <v>18895.461486894932</v>
      </c>
      <c r="CK21">
        <f t="shared" si="32"/>
        <v>6771.709801039317</v>
      </c>
      <c r="CL21">
        <f t="shared" si="33"/>
        <v>52303.52973992902</v>
      </c>
      <c r="CM21">
        <f t="shared" si="34"/>
        <v>20409.15847368852</v>
      </c>
      <c r="CN21">
        <f t="shared" si="35"/>
        <v>22742.6541388892</v>
      </c>
      <c r="CO21">
        <f t="shared" si="36"/>
        <v>3327.362923761179</v>
      </c>
      <c r="CP21">
        <f t="shared" si="37"/>
        <v>42478.557302594294</v>
      </c>
      <c r="CQ21">
        <f t="shared" si="38"/>
        <v>10260.958127655555</v>
      </c>
      <c r="CR21">
        <f t="shared" si="39"/>
        <v>18470.553361418304</v>
      </c>
      <c r="CS21">
        <f t="shared" si="40"/>
        <v>1672.8730721672227</v>
      </c>
      <c r="CU21">
        <f t="shared" si="41"/>
        <v>0</v>
      </c>
      <c r="CV21">
        <f t="shared" si="42"/>
        <v>0</v>
      </c>
      <c r="CW21">
        <f t="shared" si="43"/>
        <v>44623.66406239929</v>
      </c>
      <c r="CX21">
        <f t="shared" si="44"/>
        <v>69024.30838472222</v>
      </c>
      <c r="CY21">
        <f t="shared" si="45"/>
        <v>14048.995222372263</v>
      </c>
      <c r="CZ21">
        <f t="shared" si="46"/>
        <v>46560.793561918195</v>
      </c>
      <c r="DA21">
        <f t="shared" si="47"/>
        <v>45508.653433122345</v>
      </c>
      <c r="DB21">
        <f t="shared" si="48"/>
        <v>56550.18380759885</v>
      </c>
      <c r="DC21">
        <f t="shared" si="49"/>
        <v>46076.33768030058</v>
      </c>
      <c r="DD21">
        <f t="shared" si="50"/>
        <v>72660.15971308737</v>
      </c>
      <c r="DE21">
        <f t="shared" si="51"/>
        <v>294179.6944203806</v>
      </c>
      <c r="DF21">
        <f t="shared" si="52"/>
        <v>287180.63124696433</v>
      </c>
    </row>
    <row r="22" spans="2:110" ht="12.75">
      <c r="B22">
        <v>17</v>
      </c>
      <c r="C22">
        <f>'Starting population'!B21*(H$5*EXP(-H$6*5-H$7*(B22-15))+(1-H$5)*EXP(-(H$6*5+H$7*(B22-15))*H$10))</f>
        <v>218583.1078610083</v>
      </c>
      <c r="D22">
        <f>'Starting population'!C21*(I$5*EXP(-I$6*5-I$7*(B22-15))+(1-I$5)*EXP(-(I$6*5+I$7*(B22-15))*I$10))</f>
        <v>151461.48505380188</v>
      </c>
      <c r="E22">
        <f>'Starting population'!B21-C22</f>
        <v>103829.83918771913</v>
      </c>
      <c r="F22">
        <f>'Starting population'!C21-D22</f>
        <v>176154.13487930116</v>
      </c>
      <c r="G22">
        <f>(1-G21)*Marriage!B$23+G21*(1-Divorce!B$23)</f>
        <v>0.007978509816780274</v>
      </c>
      <c r="H22">
        <f>(1-H21)*Marriage!C$23+H21*(1-Divorce!C$23)</f>
        <v>0.03939266948839406</v>
      </c>
      <c r="I22">
        <f>'Starting population'!B21*G22</f>
        <v>2572.37486308533</v>
      </c>
      <c r="J22">
        <f>'Starting population'!C21*H22</f>
        <v>12905.653835260053</v>
      </c>
      <c r="K22">
        <f t="shared" si="1"/>
        <v>101257.4643246338</v>
      </c>
      <c r="L22">
        <f t="shared" si="2"/>
        <v>163248.4810440411</v>
      </c>
      <c r="M22">
        <f>'Starting population'!B21*H$5*EXP(-H$6*5-H$7*(B22-15))</f>
        <v>62552.802725270005</v>
      </c>
      <c r="N22">
        <f>'Starting population'!C21*I$5*EXP(-I$6*5-I$7*(B22-15))</f>
        <v>22545.752062854986</v>
      </c>
      <c r="O22">
        <f t="shared" si="3"/>
        <v>156030.30513573828</v>
      </c>
      <c r="P22">
        <f t="shared" si="4"/>
        <v>128915.7329909469</v>
      </c>
      <c r="Q22">
        <f>H$5*'Starting population'!B21-M22</f>
        <v>50291.72874178459</v>
      </c>
      <c r="R22">
        <f>I$5*'Starting population'!C21-N22</f>
        <v>59358.152920420776</v>
      </c>
      <c r="S22">
        <f>(1-H$5)*'Starting population'!B21-O22</f>
        <v>53538.11044593455</v>
      </c>
      <c r="T22">
        <f>(1-I$5)*'Starting population'!C21-P22</f>
        <v>116795.9819588804</v>
      </c>
      <c r="U22">
        <f t="shared" si="5"/>
        <v>900.3312020798655</v>
      </c>
      <c r="V22">
        <f t="shared" si="6"/>
        <v>3226.413458815013</v>
      </c>
      <c r="W22">
        <f t="shared" si="7"/>
        <v>1672.0436610054646</v>
      </c>
      <c r="X22">
        <f t="shared" si="8"/>
        <v>9679.24037644504</v>
      </c>
      <c r="Y22">
        <f t="shared" si="9"/>
        <v>49391.397539704725</v>
      </c>
      <c r="Z22">
        <f t="shared" si="10"/>
        <v>56131.739461605765</v>
      </c>
      <c r="AA22">
        <f t="shared" si="11"/>
        <v>51866.066784929084</v>
      </c>
      <c r="AB22">
        <f t="shared" si="12"/>
        <v>107116.74158243535</v>
      </c>
      <c r="AD22" t="s">
        <v>7</v>
      </c>
      <c r="AE22">
        <f>SUM(C50:C54)</f>
        <v>0</v>
      </c>
      <c r="AF22">
        <f>SUM(D50:D54)</f>
        <v>0</v>
      </c>
      <c r="AG22">
        <f>SUM(E50:E54)</f>
        <v>616949.7333237173</v>
      </c>
      <c r="AH22">
        <f>SUM(F50:F54)</f>
        <v>689140.8072225689</v>
      </c>
      <c r="AI22">
        <f aca="true" t="shared" si="58" ref="AI22:BB22">SUM(I50:I54)</f>
        <v>487848.2237151221</v>
      </c>
      <c r="AJ22">
        <f t="shared" si="58"/>
        <v>462061.64658276783</v>
      </c>
      <c r="AK22">
        <f t="shared" si="58"/>
        <v>129101.50960859514</v>
      </c>
      <c r="AL22">
        <f t="shared" si="58"/>
        <v>227079.16063980103</v>
      </c>
      <c r="AM22">
        <f t="shared" si="58"/>
        <v>0</v>
      </c>
      <c r="AN22">
        <f t="shared" si="58"/>
        <v>0</v>
      </c>
      <c r="AO22">
        <f t="shared" si="58"/>
        <v>0</v>
      </c>
      <c r="AP22">
        <f t="shared" si="58"/>
        <v>0</v>
      </c>
      <c r="AQ22">
        <f t="shared" si="58"/>
        <v>215932.40666330105</v>
      </c>
      <c r="AR22">
        <f t="shared" si="58"/>
        <v>172285.20180564222</v>
      </c>
      <c r="AS22">
        <f t="shared" si="58"/>
        <v>401017.3266604162</v>
      </c>
      <c r="AT22">
        <f t="shared" si="58"/>
        <v>516855.6054169267</v>
      </c>
      <c r="AU22">
        <f t="shared" si="58"/>
        <v>170746.87830029274</v>
      </c>
      <c r="AV22">
        <f t="shared" si="58"/>
        <v>115515.41164569196</v>
      </c>
      <c r="AW22">
        <f t="shared" si="58"/>
        <v>317101.34541482944</v>
      </c>
      <c r="AX22">
        <f t="shared" si="58"/>
        <v>346546.23493707593</v>
      </c>
      <c r="AY22">
        <f t="shared" si="58"/>
        <v>45185.5283630083</v>
      </c>
      <c r="AZ22">
        <f t="shared" si="58"/>
        <v>56769.79015995026</v>
      </c>
      <c r="BA22">
        <f t="shared" si="58"/>
        <v>83915.98124558682</v>
      </c>
      <c r="BB22">
        <f t="shared" si="58"/>
        <v>170309.3704798508</v>
      </c>
      <c r="BD22">
        <f>AY22/(1+'Partner acquisition'!B11*MeanDurSTrel+'Partner acquisition'!B$22*('Partner acquisition'!B11*MeanDurSTrel)^2)</f>
        <v>1974.4149117276959</v>
      </c>
      <c r="BE22">
        <f>AZ22/(1+'Partner acquisition'!C11*MeanDurSTrel+'Partner acquisition'!C$22*('Partner acquisition'!C11*MeanDurSTrel)^2)</f>
        <v>18308.626785252516</v>
      </c>
      <c r="BF22">
        <f>AY22*'Partner acquisition'!B11*MeanDurSTrel/(1+'Partner acquisition'!B11*MeanDurSTrel+'Partner acquisition'!B$22*('Partner acquisition'!B11*MeanDurSTrel)^2)</f>
        <v>10105.948934662867</v>
      </c>
      <c r="BG22">
        <f>AZ22*'Partner acquisition'!C11*MeanDurSTrel/(1+'Partner acquisition'!C11*MeanDurSTrel+'Partner acquisition'!C$22*('Partner acquisition'!C11*MeanDurSTrel)^2)</f>
        <v>22939.991725438704</v>
      </c>
      <c r="BH22">
        <f>AY22*'Partner acquisition'!B$22*(('Partner acquisition'!B11*MeanDurSTrel)^2)/(1+'Partner acquisition'!B11*MeanDurSTrel+'Partner acquisition'!B$22*('Partner acquisition'!B11*MeanDurSTrel)^2)</f>
        <v>33105.16451661773</v>
      </c>
      <c r="BI22">
        <f>AZ22*'Partner acquisition'!C$22*(('Partner acquisition'!C11*MeanDurSTrel)^2)/(1+'Partner acquisition'!C11*MeanDurSTrel+'Partner acquisition'!C$22*('Partner acquisition'!C11*MeanDurSTrel)^2)</f>
        <v>15521.171649259035</v>
      </c>
      <c r="BJ22">
        <f>BA22/(1+'Partner acquisition'!B11*'Partner acquisition'!B$26*MeanDurSTrel)</f>
        <v>42542.827415976506</v>
      </c>
      <c r="BK22">
        <f>BB22/(1+'Partner acquisition'!C11*'Partner acquisition'!C$26*MeanDurSTrel)</f>
        <v>97220.94812193779</v>
      </c>
      <c r="BL22">
        <f>BA22*'Partner acquisition'!B11*'Partner acquisition'!B$26*MeanDurSTrel/(1+'Partner acquisition'!B11*'Partner acquisition'!B$26*MeanDurSTrel)</f>
        <v>41373.153829610324</v>
      </c>
      <c r="BM22">
        <f>BB22*'Partner acquisition'!C11*'Partner acquisition'!C$26*MeanDurSTrel/(1+'Partner acquisition'!C11*'Partner acquisition'!C$26*MeanDurSTrel)</f>
        <v>73088.422357913</v>
      </c>
      <c r="BN22">
        <f>AU22/(1+'Partner acquisition'!B11*'Partner acquisition'!B$23*MeanDurSTrel)</f>
        <v>55105.137198111624</v>
      </c>
      <c r="BO22">
        <f>AV22/(1+'Partner acquisition'!C11*'Partner acquisition'!C$23*MeanDurSTrel)</f>
        <v>95230.91005839202</v>
      </c>
      <c r="BP22">
        <f t="shared" si="14"/>
        <v>115641.74110218111</v>
      </c>
      <c r="BQ22">
        <f t="shared" si="15"/>
        <v>20284.501587299936</v>
      </c>
      <c r="BS22">
        <f t="shared" si="16"/>
        <v>0</v>
      </c>
      <c r="BT22">
        <f t="shared" si="17"/>
        <v>0</v>
      </c>
      <c r="BU22">
        <f t="shared" si="18"/>
        <v>1974.4149117276959</v>
      </c>
      <c r="BV22">
        <f t="shared" si="19"/>
        <v>18308.626785252516</v>
      </c>
      <c r="BW22">
        <f>'Sex work'!G26*SUM('Sex work'!E$19:E$34)/'Sex work'!H$13</f>
        <v>0</v>
      </c>
      <c r="BX22">
        <f t="shared" si="20"/>
        <v>7043.353483607766</v>
      </c>
      <c r="BY22">
        <f t="shared" si="21"/>
        <v>19724.285571174078</v>
      </c>
      <c r="BZ22">
        <f t="shared" si="22"/>
        <v>3062.5954510551014</v>
      </c>
      <c r="CA22">
        <f t="shared" si="23"/>
        <v>3215.706154264626</v>
      </c>
      <c r="CB22">
        <f t="shared" si="24"/>
        <v>30408.62753920184</v>
      </c>
      <c r="CC22">
        <f t="shared" si="25"/>
        <v>63370.56882562116</v>
      </c>
      <c r="CD22">
        <f t="shared" si="26"/>
        <v>24696.509658909785</v>
      </c>
      <c r="CE22">
        <f t="shared" si="27"/>
        <v>31860.341232770865</v>
      </c>
      <c r="CF22">
        <f t="shared" si="28"/>
        <v>16080.536021200069</v>
      </c>
      <c r="CG22">
        <f t="shared" si="29"/>
        <v>11474.679164226813</v>
      </c>
      <c r="CH22">
        <f t="shared" si="30"/>
        <v>3040.3306510252237</v>
      </c>
      <c r="CI22">
        <f t="shared" si="30"/>
        <v>304.99358273055185</v>
      </c>
      <c r="CJ22">
        <f t="shared" si="31"/>
        <v>13984.29784439244</v>
      </c>
      <c r="CK22">
        <f t="shared" si="32"/>
        <v>3741.49890230167</v>
      </c>
      <c r="CL22">
        <f t="shared" si="33"/>
        <v>44475.5920802111</v>
      </c>
      <c r="CM22">
        <f t="shared" si="34"/>
        <v>11605.985848501152</v>
      </c>
      <c r="CN22">
        <f t="shared" si="35"/>
        <v>19338.905296297376</v>
      </c>
      <c r="CO22">
        <f t="shared" si="36"/>
        <v>1892.1567518712302</v>
      </c>
      <c r="CP22">
        <f t="shared" si="37"/>
        <v>36121.06097122117</v>
      </c>
      <c r="CQ22">
        <f t="shared" si="38"/>
        <v>5835.0536586387025</v>
      </c>
      <c r="CR22">
        <f t="shared" si="39"/>
        <v>15706.182754451465</v>
      </c>
      <c r="CS22">
        <f t="shared" si="40"/>
        <v>951.3053282888508</v>
      </c>
      <c r="CU22">
        <f t="shared" si="41"/>
        <v>0</v>
      </c>
      <c r="CV22">
        <f t="shared" si="42"/>
        <v>0</v>
      </c>
      <c r="CW22">
        <f t="shared" si="43"/>
        <v>42542.827415976506</v>
      </c>
      <c r="CX22">
        <f t="shared" si="44"/>
        <v>97220.94812193779</v>
      </c>
      <c r="CY22">
        <f t="shared" si="45"/>
        <v>9759.472605254432</v>
      </c>
      <c r="CZ22">
        <f t="shared" si="46"/>
        <v>33003.808440081055</v>
      </c>
      <c r="DA22">
        <f t="shared" si="47"/>
        <v>31613.681224355892</v>
      </c>
      <c r="DB22">
        <f t="shared" si="48"/>
        <v>40084.61391783195</v>
      </c>
      <c r="DC22">
        <f t="shared" si="49"/>
        <v>42940.80719159149</v>
      </c>
      <c r="DD22">
        <f t="shared" si="50"/>
        <v>69975.68205460189</v>
      </c>
      <c r="DE22">
        <f t="shared" si="51"/>
        <v>274160.5382232379</v>
      </c>
      <c r="DF22">
        <f t="shared" si="52"/>
        <v>276570.55288247403</v>
      </c>
    </row>
    <row r="23" spans="2:110" ht="12.75">
      <c r="B23">
        <v>18</v>
      </c>
      <c r="C23">
        <f>'Starting population'!B22*(H$5*EXP(-H$6*5-H$7*(B23-15))+(1-H$5)*EXP(-(H$6*5+H$7*(B23-15))*H$10))</f>
        <v>183329.80583494462</v>
      </c>
      <c r="D23">
        <f>'Starting population'!C22*(I$5*EXP(-I$6*5-I$7*(B23-15))+(1-I$5)*EXP(-(I$6*5+I$7*(B23-15))*I$10))</f>
        <v>112199.21563623469</v>
      </c>
      <c r="E23">
        <f>'Starting population'!B22-C23</f>
        <v>137773.22340741937</v>
      </c>
      <c r="F23">
        <f>'Starting population'!C22-D23</f>
        <v>213658.22096842644</v>
      </c>
      <c r="G23">
        <f>(1-G22)*Marriage!B$23+G22*(1-Divorce!B$23)</f>
        <v>0.011935644907334515</v>
      </c>
      <c r="H23">
        <f>(1-H22)*Marriage!C$23+H22*(1-Divorce!C$23)</f>
        <v>0.0581964509826985</v>
      </c>
      <c r="I23">
        <f>'Starting population'!B22*G23</f>
        <v>3832.5717357063077</v>
      </c>
      <c r="J23">
        <f>'Starting population'!C22*H23</f>
        <v>18963.746336710945</v>
      </c>
      <c r="K23">
        <f t="shared" si="1"/>
        <v>133940.65167171307</v>
      </c>
      <c r="L23">
        <f t="shared" si="2"/>
        <v>194694.4746317155</v>
      </c>
      <c r="M23">
        <f>'Starting population'!B22*H$5*EXP(-H$6*5-H$7*(B23-15))</f>
        <v>47557.5192724575</v>
      </c>
      <c r="N23">
        <f>'Starting population'!C22*I$5*EXP(-I$6*5-I$7*(B23-15))</f>
        <v>13331.979377069418</v>
      </c>
      <c r="O23">
        <f t="shared" si="3"/>
        <v>135772.28656248713</v>
      </c>
      <c r="P23">
        <f t="shared" si="4"/>
        <v>98867.23625916526</v>
      </c>
      <c r="Q23">
        <f>H$5*'Starting population'!B22-M23</f>
        <v>64828.540962369894</v>
      </c>
      <c r="R23">
        <f>I$5*'Starting population'!C22-N23</f>
        <v>68132.37977409585</v>
      </c>
      <c r="S23">
        <f>(1-H$5)*'Starting population'!B22-O23</f>
        <v>72944.68244504946</v>
      </c>
      <c r="T23">
        <f>(1-I$5)*'Starting population'!C22-P23</f>
        <v>145525.84119433054</v>
      </c>
      <c r="U23">
        <f t="shared" si="5"/>
        <v>1341.4001074972075</v>
      </c>
      <c r="V23">
        <f t="shared" si="6"/>
        <v>4740.936584177736</v>
      </c>
      <c r="W23">
        <f t="shared" si="7"/>
        <v>2491.1716282091</v>
      </c>
      <c r="X23">
        <f t="shared" si="8"/>
        <v>14222.809752533209</v>
      </c>
      <c r="Y23">
        <f t="shared" si="9"/>
        <v>63487.14085487269</v>
      </c>
      <c r="Z23">
        <f t="shared" si="10"/>
        <v>63391.44318991812</v>
      </c>
      <c r="AA23">
        <f t="shared" si="11"/>
        <v>70453.51081684037</v>
      </c>
      <c r="AB23">
        <f t="shared" si="12"/>
        <v>131303.03144179733</v>
      </c>
      <c r="AD23" t="s">
        <v>8</v>
      </c>
      <c r="AE23">
        <f>SUM(C55:C59)</f>
        <v>0</v>
      </c>
      <c r="AF23">
        <f>SUM(D55:D59)</f>
        <v>0</v>
      </c>
      <c r="AG23">
        <f>SUM(E55:E59)</f>
        <v>502960.87119527056</v>
      </c>
      <c r="AH23">
        <f>SUM(F55:F59)</f>
        <v>582240.8097442344</v>
      </c>
      <c r="AI23">
        <f aca="true" t="shared" si="59" ref="AI23:BB23">SUM(I55:I59)</f>
        <v>403326.9890340799</v>
      </c>
      <c r="AJ23">
        <f t="shared" si="59"/>
        <v>377369.6936141526</v>
      </c>
      <c r="AK23">
        <f t="shared" si="59"/>
        <v>99633.88216119079</v>
      </c>
      <c r="AL23">
        <f t="shared" si="59"/>
        <v>204871.11613008176</v>
      </c>
      <c r="AM23">
        <f t="shared" si="59"/>
        <v>0</v>
      </c>
      <c r="AN23">
        <f t="shared" si="59"/>
        <v>0</v>
      </c>
      <c r="AO23">
        <f t="shared" si="59"/>
        <v>0</v>
      </c>
      <c r="AP23">
        <f t="shared" si="59"/>
        <v>0</v>
      </c>
      <c r="AQ23">
        <f t="shared" si="59"/>
        <v>176036.30491834471</v>
      </c>
      <c r="AR23">
        <f t="shared" si="59"/>
        <v>145560.2024360586</v>
      </c>
      <c r="AS23">
        <f t="shared" si="59"/>
        <v>326924.56627692597</v>
      </c>
      <c r="AT23">
        <f t="shared" si="59"/>
        <v>436680.6073081758</v>
      </c>
      <c r="AU23">
        <f t="shared" si="59"/>
        <v>141164.44616192795</v>
      </c>
      <c r="AV23">
        <f t="shared" si="59"/>
        <v>94342.42340353815</v>
      </c>
      <c r="AW23">
        <f t="shared" si="59"/>
        <v>262162.54287215194</v>
      </c>
      <c r="AX23">
        <f t="shared" si="59"/>
        <v>283027.2702106144</v>
      </c>
      <c r="AY23">
        <f t="shared" si="59"/>
        <v>34871.85875641677</v>
      </c>
      <c r="AZ23">
        <f t="shared" si="59"/>
        <v>51217.77903252044</v>
      </c>
      <c r="BA23">
        <f t="shared" si="59"/>
        <v>64762.023404774016</v>
      </c>
      <c r="BB23">
        <f t="shared" si="59"/>
        <v>153653.33709756134</v>
      </c>
      <c r="BD23">
        <f>AY23/(1+'Partner acquisition'!B12*MeanDurSTrel+'Partner acquisition'!B$22*('Partner acquisition'!B12*MeanDurSTrel)^2)</f>
        <v>2781.9534869237546</v>
      </c>
      <c r="BE23">
        <f>AZ23/(1+'Partner acquisition'!C12*MeanDurSTrel+'Partner acquisition'!C$22*('Partner acquisition'!C12*MeanDurSTrel)^2)</f>
        <v>28647.658747781537</v>
      </c>
      <c r="BF23">
        <f>AY23*'Partner acquisition'!B12*MeanDurSTrel/(1+'Partner acquisition'!B12*MeanDurSTrel+'Partner acquisition'!B$22*('Partner acquisition'!B12*MeanDurSTrel)^2)</f>
        <v>9835.435059640533</v>
      </c>
      <c r="BG23">
        <f>AZ23*'Partner acquisition'!C12*MeanDurSTrel/(1+'Partner acquisition'!C12*MeanDurSTrel+'Partner acquisition'!C$22*('Partner acquisition'!C12*MeanDurSTrel)^2)</f>
        <v>17074.623967179887</v>
      </c>
      <c r="BH23">
        <f>AY23*'Partner acquisition'!B$22*(('Partner acquisition'!B12*MeanDurSTrel)^2)/(1+'Partner acquisition'!B12*MeanDurSTrel+'Partner acquisition'!B$22*('Partner acquisition'!B12*MeanDurSTrel)^2)</f>
        <v>22254.470209852487</v>
      </c>
      <c r="BI23">
        <f>AZ23*'Partner acquisition'!C$22*(('Partner acquisition'!C12*MeanDurSTrel)^2)/(1+'Partner acquisition'!C12*MeanDurSTrel+'Partner acquisition'!C$22*('Partner acquisition'!C12*MeanDurSTrel)^2)</f>
        <v>5495.496317559013</v>
      </c>
      <c r="BJ23">
        <f>BA23/(1+'Partner acquisition'!B12*'Partner acquisition'!B$26*MeanDurSTrel)</f>
        <v>38739.431362989635</v>
      </c>
      <c r="BK23">
        <f>BB23/(1+'Partner acquisition'!C12*'Partner acquisition'!C$26*MeanDurSTrel)</f>
        <v>113179.04313499067</v>
      </c>
      <c r="BL23">
        <f>BA23*'Partner acquisition'!B12*'Partner acquisition'!B$26*MeanDurSTrel/(1+'Partner acquisition'!B12*'Partner acquisition'!B$26*MeanDurSTrel)</f>
        <v>26022.592041784377</v>
      </c>
      <c r="BM23">
        <f>BB23*'Partner acquisition'!C12*'Partner acquisition'!C$26*MeanDurSTrel/(1+'Partner acquisition'!C12*'Partner acquisition'!C$26*MeanDurSTrel)</f>
        <v>40474.293962570664</v>
      </c>
      <c r="BN23">
        <f>AU23/(1+'Partner acquisition'!B12*'Partner acquisition'!B$23*MeanDurSTrel)</f>
        <v>57629.16847070701</v>
      </c>
      <c r="BO23">
        <f>AV23/(1+'Partner acquisition'!C12*'Partner acquisition'!C$23*MeanDurSTrel)</f>
        <v>85662.75792971317</v>
      </c>
      <c r="BP23">
        <f t="shared" si="14"/>
        <v>83535.27769122094</v>
      </c>
      <c r="BQ23">
        <f t="shared" si="15"/>
        <v>8679.665473824978</v>
      </c>
      <c r="BS23">
        <f t="shared" si="16"/>
        <v>0</v>
      </c>
      <c r="BT23">
        <f t="shared" si="17"/>
        <v>0</v>
      </c>
      <c r="BU23">
        <f t="shared" si="18"/>
        <v>2781.9534869237546</v>
      </c>
      <c r="BV23">
        <f t="shared" si="19"/>
        <v>28647.658747781537</v>
      </c>
      <c r="BW23">
        <f>'Sex work'!G27*SUM('Sex work'!E$19:E$34)/'Sex work'!H$13</f>
        <v>0</v>
      </c>
      <c r="BX23">
        <f t="shared" si="20"/>
        <v>6854.818507197225</v>
      </c>
      <c r="BY23">
        <f t="shared" si="21"/>
        <v>14681.119469437326</v>
      </c>
      <c r="BZ23">
        <f t="shared" si="22"/>
        <v>2980.616552443308</v>
      </c>
      <c r="CA23">
        <f t="shared" si="23"/>
        <v>2393.50449774256</v>
      </c>
      <c r="CB23">
        <f t="shared" si="24"/>
        <v>31801.461869505998</v>
      </c>
      <c r="CC23">
        <f t="shared" si="25"/>
        <v>57003.526416463545</v>
      </c>
      <c r="CD23">
        <f t="shared" si="26"/>
        <v>25827.70660120101</v>
      </c>
      <c r="CE23">
        <f t="shared" si="27"/>
        <v>28659.23151324963</v>
      </c>
      <c r="CF23">
        <f t="shared" si="28"/>
        <v>10809.908818384534</v>
      </c>
      <c r="CG23">
        <f t="shared" si="29"/>
        <v>4062.7768648631595</v>
      </c>
      <c r="CH23">
        <f t="shared" si="30"/>
        <v>2043.818506546875</v>
      </c>
      <c r="CI23">
        <f t="shared" si="30"/>
        <v>107.98740898242</v>
      </c>
      <c r="CJ23">
        <f t="shared" si="31"/>
        <v>9400.74288492108</v>
      </c>
      <c r="CK23">
        <f t="shared" si="32"/>
        <v>1324.732043713433</v>
      </c>
      <c r="CL23">
        <f t="shared" si="33"/>
        <v>32127.507762262732</v>
      </c>
      <c r="CM23">
        <f t="shared" si="34"/>
        <v>4966.159716835601</v>
      </c>
      <c r="CN23">
        <f t="shared" si="35"/>
        <v>13969.703402709796</v>
      </c>
      <c r="CO23">
        <f t="shared" si="36"/>
        <v>809.6470874376378</v>
      </c>
      <c r="CP23">
        <f t="shared" si="37"/>
        <v>26092.506304158134</v>
      </c>
      <c r="CQ23">
        <f t="shared" si="38"/>
        <v>2496.7985316687277</v>
      </c>
      <c r="CR23">
        <f t="shared" si="39"/>
        <v>11345.560222090278</v>
      </c>
      <c r="CS23">
        <f t="shared" si="40"/>
        <v>407.0601378830113</v>
      </c>
      <c r="CU23">
        <f t="shared" si="41"/>
        <v>0</v>
      </c>
      <c r="CV23">
        <f t="shared" si="42"/>
        <v>0</v>
      </c>
      <c r="CW23">
        <f t="shared" si="43"/>
        <v>38739.431362989635</v>
      </c>
      <c r="CX23">
        <f t="shared" si="44"/>
        <v>113179.04313499067</v>
      </c>
      <c r="CY23">
        <f t="shared" si="45"/>
        <v>6138.443667974505</v>
      </c>
      <c r="CZ23">
        <f t="shared" si="46"/>
        <v>18276.57242547648</v>
      </c>
      <c r="DA23">
        <f t="shared" si="47"/>
        <v>19884.148373809872</v>
      </c>
      <c r="DB23">
        <f t="shared" si="48"/>
        <v>22197.721537094185</v>
      </c>
      <c r="DC23">
        <f t="shared" si="49"/>
        <v>35501.17768060391</v>
      </c>
      <c r="DD23">
        <f t="shared" si="50"/>
        <v>57149.737254066386</v>
      </c>
      <c r="DE23">
        <f t="shared" si="51"/>
        <v>226661.36519154801</v>
      </c>
      <c r="DF23">
        <f t="shared" si="52"/>
        <v>225877.53295654804</v>
      </c>
    </row>
    <row r="24" spans="2:110" ht="12.75">
      <c r="B24">
        <v>19</v>
      </c>
      <c r="C24">
        <f>'Starting population'!B23*(H$5*EXP(-H$6*5-H$7*(B24-15))+(1-H$5)*EXP(-(H$6*5+H$7*(B24-15))*H$10))</f>
        <v>154551.53410653138</v>
      </c>
      <c r="D24">
        <f>'Starting population'!C23*(I$5*EXP(-I$6*5-I$7*(B24-15))+(1-I$5)*EXP(-(I$6*5+I$7*(B24-15))*I$10))</f>
        <v>83901.53925413995</v>
      </c>
      <c r="E24">
        <f>'Starting population'!B23-C24</f>
        <v>165765.3575269796</v>
      </c>
      <c r="F24">
        <f>'Starting population'!C23-D24</f>
        <v>240963.3710462746</v>
      </c>
      <c r="G24">
        <f>(1-G23)*Marriage!B$23+G23*(1-Divorce!B$23)</f>
        <v>0.015871520108358444</v>
      </c>
      <c r="H24">
        <f>(1-H23)*Marriage!C$23+H23*(1-Divorce!C$23)</f>
        <v>0.0764292269652498</v>
      </c>
      <c r="I24">
        <f>'Starting population'!B23*G24</f>
        <v>5083.915986608143</v>
      </c>
      <c r="J24">
        <f>'Starting population'!C23*H24</f>
        <v>24829.1739623959</v>
      </c>
      <c r="K24">
        <f t="shared" si="1"/>
        <v>160681.44154037148</v>
      </c>
      <c r="L24">
        <f t="shared" si="2"/>
        <v>216134.1970838787</v>
      </c>
      <c r="M24">
        <f>'Starting population'!B23*H$5*EXP(-H$6*5-H$7*(B24-15))</f>
        <v>36215.553006999435</v>
      </c>
      <c r="N24">
        <f>'Starting population'!C23*I$5*EXP(-I$6*5-I$7*(B24-15))</f>
        <v>7901.99353771322</v>
      </c>
      <c r="O24">
        <f t="shared" si="3"/>
        <v>118335.98109953196</v>
      </c>
      <c r="P24">
        <f t="shared" si="4"/>
        <v>75999.54571642673</v>
      </c>
      <c r="Q24">
        <f>H$5*'Starting population'!B23-M24</f>
        <v>75895.35906472942</v>
      </c>
      <c r="R24">
        <f>I$5*'Starting population'!C23-N24</f>
        <v>73314.23403739042</v>
      </c>
      <c r="S24">
        <f>(1-H$5)*'Starting population'!B23-O24</f>
        <v>89869.9984622502</v>
      </c>
      <c r="T24">
        <f>(1-I$5)*'Starting population'!C23-P24</f>
        <v>167649.13700888416</v>
      </c>
      <c r="U24">
        <f t="shared" si="5"/>
        <v>1779.37059531285</v>
      </c>
      <c r="V24">
        <f t="shared" si="6"/>
        <v>6207.293490598975</v>
      </c>
      <c r="W24">
        <f t="shared" si="7"/>
        <v>3304.545391295293</v>
      </c>
      <c r="X24">
        <f t="shared" si="8"/>
        <v>18621.880471796925</v>
      </c>
      <c r="Y24">
        <f t="shared" si="9"/>
        <v>74115.98846941657</v>
      </c>
      <c r="Z24">
        <f t="shared" si="10"/>
        <v>67106.94054679145</v>
      </c>
      <c r="AA24">
        <f t="shared" si="11"/>
        <v>86565.4530709549</v>
      </c>
      <c r="AB24">
        <f t="shared" si="12"/>
        <v>149027.25653708723</v>
      </c>
      <c r="AD24" t="s">
        <v>9</v>
      </c>
      <c r="AE24">
        <f>SUM(C60:C64)</f>
        <v>0</v>
      </c>
      <c r="AF24">
        <f>SUM(D60:D64)</f>
        <v>0</v>
      </c>
      <c r="AG24">
        <f>SUM(E60:E64)</f>
        <v>423998.9049025543</v>
      </c>
      <c r="AH24">
        <f>SUM(F60:F64)</f>
        <v>497902.82059810206</v>
      </c>
      <c r="AI24">
        <f aca="true" t="shared" si="60" ref="AI24:BB24">SUM(I60:I64)</f>
        <v>341813.95589081605</v>
      </c>
      <c r="AJ24">
        <f t="shared" si="60"/>
        <v>303359.76774382073</v>
      </c>
      <c r="AK24">
        <f t="shared" si="60"/>
        <v>82184.94901173835</v>
      </c>
      <c r="AL24">
        <f t="shared" si="60"/>
        <v>194543.0528542813</v>
      </c>
      <c r="AM24">
        <f t="shared" si="60"/>
        <v>0</v>
      </c>
      <c r="AN24">
        <f t="shared" si="60"/>
        <v>0</v>
      </c>
      <c r="AO24">
        <f t="shared" si="60"/>
        <v>0</v>
      </c>
      <c r="AP24">
        <f t="shared" si="60"/>
        <v>0</v>
      </c>
      <c r="AQ24">
        <f t="shared" si="60"/>
        <v>148399.61671589402</v>
      </c>
      <c r="AR24">
        <f t="shared" si="60"/>
        <v>124475.70514952551</v>
      </c>
      <c r="AS24">
        <f t="shared" si="60"/>
        <v>275599.2881866603</v>
      </c>
      <c r="AT24">
        <f t="shared" si="60"/>
        <v>373427.1154485766</v>
      </c>
      <c r="AU24">
        <f t="shared" si="60"/>
        <v>119634.8845617856</v>
      </c>
      <c r="AV24">
        <f t="shared" si="60"/>
        <v>75839.94193595518</v>
      </c>
      <c r="AW24">
        <f t="shared" si="60"/>
        <v>222179.07132903044</v>
      </c>
      <c r="AX24">
        <f t="shared" si="60"/>
        <v>227519.8258078656</v>
      </c>
      <c r="AY24">
        <f t="shared" si="60"/>
        <v>28764.732154108413</v>
      </c>
      <c r="AZ24">
        <f t="shared" si="60"/>
        <v>48635.763213570324</v>
      </c>
      <c r="BA24">
        <f t="shared" si="60"/>
        <v>53420.21685762992</v>
      </c>
      <c r="BB24">
        <f t="shared" si="60"/>
        <v>145907.28964071098</v>
      </c>
      <c r="BD24">
        <f>AY24/(1+'Partner acquisition'!B13*MeanDurSTrel+'Partner acquisition'!B$22*('Partner acquisition'!B13*MeanDurSTrel)^2)</f>
        <v>4196.137387184071</v>
      </c>
      <c r="BE24">
        <f>AZ24/(1+'Partner acquisition'!C13*MeanDurSTrel+'Partner acquisition'!C$22*('Partner acquisition'!C13*MeanDurSTrel)^2)</f>
        <v>37093.93590015377</v>
      </c>
      <c r="BF24">
        <f>AY24*'Partner acquisition'!B13*MeanDurSTrel/(1+'Partner acquisition'!B13*MeanDurSTrel+'Partner acquisition'!B$22*('Partner acquisition'!B13*MeanDurSTrel)^2)</f>
        <v>9830.159282048713</v>
      </c>
      <c r="BG24">
        <f>AZ24*'Partner acquisition'!C13*MeanDurSTrel/(1+'Partner acquisition'!C13*MeanDurSTrel+'Partner acquisition'!C$22*('Partner acquisition'!C13*MeanDurSTrel)^2)</f>
        <v>10066.606508787323</v>
      </c>
      <c r="BH24">
        <f>AY24*'Partner acquisition'!B$22*(('Partner acquisition'!B13*MeanDurSTrel)^2)/(1+'Partner acquisition'!B13*MeanDurSTrel+'Partner acquisition'!B$22*('Partner acquisition'!B13*MeanDurSTrel)^2)</f>
        <v>14738.43548487563</v>
      </c>
      <c r="BI24">
        <f>AZ24*'Partner acquisition'!C$22*(('Partner acquisition'!C13*MeanDurSTrel)^2)/(1+'Partner acquisition'!C13*MeanDurSTrel+'Partner acquisition'!C$22*('Partner acquisition'!C13*MeanDurSTrel)^2)</f>
        <v>1475.2208046292328</v>
      </c>
      <c r="BJ24">
        <f>BA24/(1+'Partner acquisition'!B13*'Partner acquisition'!B$26*MeanDurSTrel)</f>
        <v>36966.27006019742</v>
      </c>
      <c r="BK24">
        <f>BB24/(1+'Partner acquisition'!C13*'Partner acquisition'!C$26*MeanDurSTrel)</f>
        <v>125476.149240205</v>
      </c>
      <c r="BL24">
        <f>BA24*'Partner acquisition'!B13*'Partner acquisition'!B$26*MeanDurSTrel/(1+'Partner acquisition'!B13*'Partner acquisition'!B$26*MeanDurSTrel)</f>
        <v>16453.9467974325</v>
      </c>
      <c r="BM24">
        <f>BB24*'Partner acquisition'!C13*'Partner acquisition'!C$26*MeanDurSTrel/(1+'Partner acquisition'!C13*'Partner acquisition'!C$26*MeanDurSTrel)</f>
        <v>20431.140400505967</v>
      </c>
      <c r="BN24">
        <f>AU24/(1+'Partner acquisition'!B13*'Partner acquisition'!B$23*MeanDurSTrel)</f>
        <v>61022.822293494915</v>
      </c>
      <c r="BO24">
        <f>AV24/(1+'Partner acquisition'!C13*'Partner acquisition'!C$23*MeanDurSTrel)</f>
        <v>72495.37863828673</v>
      </c>
      <c r="BP24">
        <f t="shared" si="14"/>
        <v>58612.06226829068</v>
      </c>
      <c r="BQ24">
        <f t="shared" si="15"/>
        <v>3344.5632976684574</v>
      </c>
      <c r="BS24">
        <f t="shared" si="16"/>
        <v>0</v>
      </c>
      <c r="BT24">
        <f t="shared" si="17"/>
        <v>0</v>
      </c>
      <c r="BU24">
        <f t="shared" si="18"/>
        <v>4196.137387184071</v>
      </c>
      <c r="BV24">
        <f t="shared" si="19"/>
        <v>37093.93590015377</v>
      </c>
      <c r="BW24">
        <f>'Sex work'!G28*SUM('Sex work'!E$19:E$34)/'Sex work'!H$13</f>
        <v>0</v>
      </c>
      <c r="BX24">
        <f t="shared" si="20"/>
        <v>6851.141547545011</v>
      </c>
      <c r="BY24">
        <f t="shared" si="21"/>
        <v>8655.479212391201</v>
      </c>
      <c r="BZ24">
        <f t="shared" si="22"/>
        <v>2979.0177345037014</v>
      </c>
      <c r="CA24">
        <f t="shared" si="23"/>
        <v>1411.1272963961223</v>
      </c>
      <c r="CB24">
        <f t="shared" si="24"/>
        <v>33674.179375373715</v>
      </c>
      <c r="CC24">
        <f t="shared" si="25"/>
        <v>48241.41004974227</v>
      </c>
      <c r="CD24">
        <f t="shared" si="26"/>
        <v>27348.6429181212</v>
      </c>
      <c r="CE24">
        <f t="shared" si="27"/>
        <v>24253.96858854446</v>
      </c>
      <c r="CF24">
        <f t="shared" si="28"/>
        <v>7159.062526081346</v>
      </c>
      <c r="CG24">
        <f t="shared" si="29"/>
        <v>1090.619046811526</v>
      </c>
      <c r="CH24">
        <f t="shared" si="30"/>
        <v>1353.5566974854373</v>
      </c>
      <c r="CI24">
        <f t="shared" si="30"/>
        <v>28.988332111126194</v>
      </c>
      <c r="CJ24">
        <f t="shared" si="31"/>
        <v>6225.816261308848</v>
      </c>
      <c r="CK24">
        <f t="shared" si="32"/>
        <v>355.61342570658053</v>
      </c>
      <c r="CL24">
        <f t="shared" si="33"/>
        <v>22542.08685876714</v>
      </c>
      <c r="CM24">
        <f t="shared" si="34"/>
        <v>1913.6262301095749</v>
      </c>
      <c r="CN24">
        <f t="shared" si="35"/>
        <v>9801.764575868874</v>
      </c>
      <c r="CO24">
        <f t="shared" si="36"/>
        <v>311.98390547127343</v>
      </c>
      <c r="CP24">
        <f t="shared" si="37"/>
        <v>18307.66170297663</v>
      </c>
      <c r="CQ24">
        <f t="shared" si="38"/>
        <v>962.0993753589577</v>
      </c>
      <c r="CR24">
        <f t="shared" si="39"/>
        <v>7960.549130678038</v>
      </c>
      <c r="CS24">
        <f t="shared" si="40"/>
        <v>156.8537867286513</v>
      </c>
      <c r="CU24">
        <f t="shared" si="41"/>
        <v>0</v>
      </c>
      <c r="CV24">
        <f t="shared" si="42"/>
        <v>0</v>
      </c>
      <c r="CW24">
        <f t="shared" si="43"/>
        <v>36966.27006019742</v>
      </c>
      <c r="CX24">
        <f t="shared" si="44"/>
        <v>125476.149240205</v>
      </c>
      <c r="CY24">
        <f t="shared" si="45"/>
        <v>3881.3053430538744</v>
      </c>
      <c r="CZ24">
        <f t="shared" si="46"/>
        <v>9225.885882289747</v>
      </c>
      <c r="DA24">
        <f t="shared" si="47"/>
        <v>12572.641454378627</v>
      </c>
      <c r="DB24">
        <f t="shared" si="48"/>
        <v>11205.25451821622</v>
      </c>
      <c r="DC24">
        <f t="shared" si="49"/>
        <v>30086.749242472877</v>
      </c>
      <c r="DD24">
        <f t="shared" si="50"/>
        <v>45941.50328812671</v>
      </c>
      <c r="DE24">
        <f t="shared" si="51"/>
        <v>192092.32208655754</v>
      </c>
      <c r="DF24">
        <f t="shared" si="52"/>
        <v>181578.32251973887</v>
      </c>
    </row>
    <row r="25" spans="2:110" ht="12.75">
      <c r="B25">
        <v>20</v>
      </c>
      <c r="C25">
        <f>'Starting population'!B24*(H$5*EXP(-H$6*5-H$7*(B25-15))+(1-H$5)*EXP(-(H$6*5+H$7*(B25-15))*H$10))</f>
        <v>130236.49038431664</v>
      </c>
      <c r="D25">
        <f>'Starting population'!C24*(I$5*EXP(-I$6*5-I$7*(B25-15))+(1-I$5)*EXP(-(I$6*5+I$7*(B25-15))*I$10))</f>
        <v>62848.40808429646</v>
      </c>
      <c r="E25">
        <f>'Starting population'!B24-C25</f>
        <v>188120.56117786752</v>
      </c>
      <c r="F25">
        <f>'Starting population'!C24-D25</f>
        <v>259711.76964694913</v>
      </c>
      <c r="G25">
        <f>(1-G24)*Marriage!B$23+G24*(1-Divorce!B$23)</f>
        <v>0.019786249639582372</v>
      </c>
      <c r="H25">
        <f>(1-H24)*Marriage!C$23+H24*(1-Divorce!C$23)</f>
        <v>0.0941083368895271</v>
      </c>
      <c r="I25">
        <f>'Starting population'!B24*G25</f>
        <v>6299.092096730773</v>
      </c>
      <c r="J25">
        <f>'Starting population'!C24*H25</f>
        <v>30355.601873077798</v>
      </c>
      <c r="K25">
        <f t="shared" si="1"/>
        <v>181821.46908113675</v>
      </c>
      <c r="L25">
        <f t="shared" si="2"/>
        <v>229356.16777387133</v>
      </c>
      <c r="M25">
        <f>'Starting population'!B24*H$5*EXP(-H$6*5-H$7*(B25-15))</f>
        <v>27477.058827622623</v>
      </c>
      <c r="N25">
        <f>'Starting population'!C24*I$5*EXP(-I$6*5-I$7*(B25-15))</f>
        <v>4664.568605532773</v>
      </c>
      <c r="O25">
        <f t="shared" si="3"/>
        <v>102759.43155669402</v>
      </c>
      <c r="P25">
        <f t="shared" si="4"/>
        <v>58183.839478763686</v>
      </c>
      <c r="Q25">
        <f>H$5*'Starting population'!B24-M25</f>
        <v>83947.90921914183</v>
      </c>
      <c r="R25">
        <f>I$5*'Starting population'!C24-N25</f>
        <v>75975.47582727863</v>
      </c>
      <c r="S25">
        <f>(1-H$5)*'Starting population'!B24-O25</f>
        <v>104172.65195872569</v>
      </c>
      <c r="T25">
        <f>(1-I$5)*'Starting population'!C24-P25</f>
        <v>183736.2938196705</v>
      </c>
      <c r="U25">
        <f t="shared" si="5"/>
        <v>2204.6822338557704</v>
      </c>
      <c r="V25">
        <f t="shared" si="6"/>
        <v>7588.900468269449</v>
      </c>
      <c r="W25">
        <f t="shared" si="7"/>
        <v>4094.4098628750025</v>
      </c>
      <c r="X25">
        <f t="shared" si="8"/>
        <v>22766.701404808347</v>
      </c>
      <c r="Y25">
        <f t="shared" si="9"/>
        <v>81743.22698528606</v>
      </c>
      <c r="Z25">
        <f t="shared" si="10"/>
        <v>68386.57535900918</v>
      </c>
      <c r="AA25">
        <f t="shared" si="11"/>
        <v>100078.24209585068</v>
      </c>
      <c r="AB25">
        <f t="shared" si="12"/>
        <v>160969.59241486216</v>
      </c>
      <c r="AD25" t="s">
        <v>10</v>
      </c>
      <c r="AE25">
        <f>SUM(C65:C69)</f>
        <v>0</v>
      </c>
      <c r="AF25">
        <f>SUM(D65:D69)</f>
        <v>0</v>
      </c>
      <c r="AG25">
        <f>SUM(E65:E69)</f>
        <v>321136.1727248213</v>
      </c>
      <c r="AH25">
        <f>SUM(F65:F69)</f>
        <v>369432.6357852072</v>
      </c>
      <c r="AI25">
        <f aca="true" t="shared" si="61" ref="AI25:BB25">SUM(I65:I69)</f>
        <v>258099.96612586483</v>
      </c>
      <c r="AJ25">
        <f t="shared" si="61"/>
        <v>202880.97545182065</v>
      </c>
      <c r="AK25">
        <f t="shared" si="61"/>
        <v>63036.20659895651</v>
      </c>
      <c r="AL25">
        <f t="shared" si="61"/>
        <v>166551.66033338656</v>
      </c>
      <c r="AM25">
        <f t="shared" si="61"/>
        <v>0</v>
      </c>
      <c r="AN25">
        <f t="shared" si="61"/>
        <v>0</v>
      </c>
      <c r="AO25">
        <f t="shared" si="61"/>
        <v>0</v>
      </c>
      <c r="AP25">
        <f t="shared" si="61"/>
        <v>0</v>
      </c>
      <c r="AQ25">
        <f t="shared" si="61"/>
        <v>112397.66045368745</v>
      </c>
      <c r="AR25">
        <f t="shared" si="61"/>
        <v>92358.1589463018</v>
      </c>
      <c r="AS25">
        <f t="shared" si="61"/>
        <v>208738.51227113386</v>
      </c>
      <c r="AT25">
        <f t="shared" si="61"/>
        <v>277074.47683890536</v>
      </c>
      <c r="AU25">
        <f t="shared" si="61"/>
        <v>90334.98814405267</v>
      </c>
      <c r="AV25">
        <f t="shared" si="61"/>
        <v>50720.24386295516</v>
      </c>
      <c r="AW25">
        <f t="shared" si="61"/>
        <v>167764.97798181212</v>
      </c>
      <c r="AX25">
        <f t="shared" si="61"/>
        <v>152160.7315888655</v>
      </c>
      <c r="AY25">
        <f t="shared" si="61"/>
        <v>22062.672309634785</v>
      </c>
      <c r="AZ25">
        <f t="shared" si="61"/>
        <v>41637.91508334664</v>
      </c>
      <c r="BA25">
        <f t="shared" si="61"/>
        <v>40973.53428932173</v>
      </c>
      <c r="BB25">
        <f t="shared" si="61"/>
        <v>124913.74525003991</v>
      </c>
      <c r="BD25">
        <f>AY25/(1+'Partner acquisition'!B14*MeanDurSTrel+'Partner acquisition'!B$22*('Partner acquisition'!B14*MeanDurSTrel)^2)</f>
        <v>5592.97750924205</v>
      </c>
      <c r="BE25">
        <f>AZ25/(1+'Partner acquisition'!C14*MeanDurSTrel+'Partner acquisition'!C$22*('Partner acquisition'!C14*MeanDurSTrel)^2)</f>
        <v>36945.62718503588</v>
      </c>
      <c r="BF25">
        <f>AY25*'Partner acquisition'!B14*MeanDurSTrel/(1+'Partner acquisition'!B14*MeanDurSTrel+'Partner acquisition'!B$22*('Partner acquisition'!B14*MeanDurSTrel)^2)</f>
        <v>8398.48394126332</v>
      </c>
      <c r="BG25">
        <f>AZ25*'Partner acquisition'!C14*MeanDurSTrel/(1+'Partner acquisition'!C14*MeanDurSTrel+'Partner acquisition'!C$22*('Partner acquisition'!C14*MeanDurSTrel)^2)</f>
        <v>4408.257613761542</v>
      </c>
      <c r="BH25">
        <f>AY25*'Partner acquisition'!B$22*(('Partner acquisition'!B14*MeanDurSTrel)^2)/(1+'Partner acquisition'!B14*MeanDurSTrel+'Partner acquisition'!B$22*('Partner acquisition'!B14*MeanDurSTrel)^2)</f>
        <v>8071.210859129417</v>
      </c>
      <c r="BI25">
        <f>AZ25*'Partner acquisition'!C$22*(('Partner acquisition'!C14*MeanDurSTrel)^2)/(1+'Partner acquisition'!C14*MeanDurSTrel+'Partner acquisition'!C$22*('Partner acquisition'!C14*MeanDurSTrel)^2)</f>
        <v>284.0302845492099</v>
      </c>
      <c r="BJ25">
        <f>BA25/(1+'Partner acquisition'!B14*'Partner acquisition'!B$26*MeanDurSTrel)</f>
        <v>31878.4191597942</v>
      </c>
      <c r="BK25">
        <f>BB25/(1+'Partner acquisition'!C14*'Partner acquisition'!C$26*MeanDurSTrel)</f>
        <v>116568.54882943677</v>
      </c>
      <c r="BL25">
        <f>BA25*'Partner acquisition'!B14*'Partner acquisition'!B$26*MeanDurSTrel/(1+'Partner acquisition'!B14*'Partner acquisition'!B$26*MeanDurSTrel)</f>
        <v>9095.115129527532</v>
      </c>
      <c r="BM25">
        <f>BB25*'Partner acquisition'!C14*'Partner acquisition'!C$26*MeanDurSTrel/(1+'Partner acquisition'!C14*'Partner acquisition'!C$26*MeanDurSTrel)</f>
        <v>8345.196420603132</v>
      </c>
      <c r="BN25">
        <f>AU25/(1+'Partner acquisition'!B14*'Partner acquisition'!B$23*MeanDurSTrel)</f>
        <v>55912.09124250905</v>
      </c>
      <c r="BO25">
        <f>AV25/(1+'Partner acquisition'!C14*'Partner acquisition'!C$23*MeanDurSTrel)</f>
        <v>49711.8896525151</v>
      </c>
      <c r="BP25">
        <f t="shared" si="14"/>
        <v>34422.896901543616</v>
      </c>
      <c r="BQ25">
        <f t="shared" si="15"/>
        <v>1008.3542104400622</v>
      </c>
      <c r="BS25">
        <f t="shared" si="16"/>
        <v>0</v>
      </c>
      <c r="BT25">
        <f t="shared" si="17"/>
        <v>0</v>
      </c>
      <c r="BU25">
        <f t="shared" si="18"/>
        <v>5592.97750924205</v>
      </c>
      <c r="BV25">
        <f t="shared" si="19"/>
        <v>36945.62718503588</v>
      </c>
      <c r="BW25">
        <f>'Sex work'!G29*SUM('Sex work'!E$19:E$34)/'Sex work'!H$13</f>
        <v>0</v>
      </c>
      <c r="BX25">
        <f t="shared" si="20"/>
        <v>5853.333665859675</v>
      </c>
      <c r="BY25">
        <f t="shared" si="21"/>
        <v>3790.312267144998</v>
      </c>
      <c r="BZ25">
        <f t="shared" si="22"/>
        <v>2545.150275403644</v>
      </c>
      <c r="CA25">
        <f t="shared" si="23"/>
        <v>617.9453466165447</v>
      </c>
      <c r="CB25">
        <f t="shared" si="24"/>
        <v>30853.928399067492</v>
      </c>
      <c r="CC25">
        <f t="shared" si="25"/>
        <v>33080.33833494571</v>
      </c>
      <c r="CD25">
        <f t="shared" si="26"/>
        <v>25058.162843441558</v>
      </c>
      <c r="CE25">
        <f t="shared" si="27"/>
        <v>16631.551317569392</v>
      </c>
      <c r="CF25">
        <f t="shared" si="28"/>
        <v>3920.5181079762233</v>
      </c>
      <c r="CG25">
        <f t="shared" si="29"/>
        <v>209.98133786387322</v>
      </c>
      <c r="CH25">
        <f t="shared" si="30"/>
        <v>741.2483859906791</v>
      </c>
      <c r="CI25">
        <f t="shared" si="30"/>
        <v>5.581241934965466</v>
      </c>
      <c r="CJ25">
        <f t="shared" si="31"/>
        <v>3409.444365162515</v>
      </c>
      <c r="CK25">
        <f t="shared" si="32"/>
        <v>68.46770475037121</v>
      </c>
      <c r="CL25">
        <f t="shared" si="33"/>
        <v>13238.980200578635</v>
      </c>
      <c r="CM25">
        <f t="shared" si="34"/>
        <v>576.9402144921861</v>
      </c>
      <c r="CN25">
        <f t="shared" si="35"/>
        <v>5756.581809114638</v>
      </c>
      <c r="CO25">
        <f t="shared" si="36"/>
        <v>94.06019760211991</v>
      </c>
      <c r="CP25">
        <f t="shared" si="37"/>
        <v>10752.099941906408</v>
      </c>
      <c r="CQ25">
        <f t="shared" si="38"/>
        <v>290.0638647446903</v>
      </c>
      <c r="CR25">
        <f t="shared" si="39"/>
        <v>4675.234949943934</v>
      </c>
      <c r="CS25">
        <f t="shared" si="40"/>
        <v>47.28993360106582</v>
      </c>
      <c r="CU25">
        <f t="shared" si="41"/>
        <v>0</v>
      </c>
      <c r="CV25">
        <f t="shared" si="42"/>
        <v>0</v>
      </c>
      <c r="CW25">
        <f t="shared" si="43"/>
        <v>31878.4191597942</v>
      </c>
      <c r="CX25">
        <f t="shared" si="44"/>
        <v>116568.54882943677</v>
      </c>
      <c r="CY25">
        <f t="shared" si="45"/>
        <v>2145.4377714065386</v>
      </c>
      <c r="CZ25">
        <f t="shared" si="46"/>
        <v>3768.356945942709</v>
      </c>
      <c r="DA25">
        <f t="shared" si="47"/>
        <v>6949.677358120994</v>
      </c>
      <c r="DB25">
        <f t="shared" si="48"/>
        <v>4576.839474660423</v>
      </c>
      <c r="DC25">
        <f t="shared" si="49"/>
        <v>22718.174101703728</v>
      </c>
      <c r="DD25">
        <f t="shared" si="50"/>
        <v>30724.763109290157</v>
      </c>
      <c r="DE25">
        <f t="shared" si="51"/>
        <v>145046.80388010837</v>
      </c>
      <c r="DF25">
        <f t="shared" si="52"/>
        <v>121435.96847957536</v>
      </c>
    </row>
    <row r="26" spans="2:110" ht="12.75">
      <c r="B26">
        <v>21</v>
      </c>
      <c r="C26">
        <f>'Starting population'!B25*(H$5*EXP(-H$6*5-H$7*5-H$8*(B26-20))+(1-H$5)*EXP(-(H$6*5+H$7*5+H$8*(B26-20))*H$10))</f>
        <v>79499.25248075402</v>
      </c>
      <c r="D26">
        <f>'Starting population'!C25*(I$5*EXP(-I$6*5-I$7*5-I$8*(B26-20))+(1-I$5)*EXP(-(I$6*5+I$7*5+I$8*(B26-20))*I$10))</f>
        <v>38300.56007837463</v>
      </c>
      <c r="E26">
        <f>'Starting population'!B25-C26</f>
        <v>235690.6599599646</v>
      </c>
      <c r="F26">
        <f>'Starting population'!C25-D26</f>
        <v>280171.4242622737</v>
      </c>
      <c r="G26">
        <f>(1-G25)*Marriage!B$24+G25*(1-Divorce!B$24)</f>
        <v>0.053742495837817476</v>
      </c>
      <c r="H26">
        <f>(1-H25)*Marriage!C$24+H25*(1-Divorce!C$24)</f>
        <v>0.15521308439648046</v>
      </c>
      <c r="I26">
        <f>'Starting population'!B25*G26</f>
        <v>16939.092557467375</v>
      </c>
      <c r="J26">
        <f>'Starting population'!C25*H26</f>
        <v>49431.018983379654</v>
      </c>
      <c r="K26">
        <f t="shared" si="1"/>
        <v>218751.56740249722</v>
      </c>
      <c r="L26">
        <f t="shared" si="2"/>
        <v>230740.40527889406</v>
      </c>
      <c r="M26">
        <f>'Starting population'!B25*H$5*EXP(-H$6*5-H$7*5-H$8*(B26-20))</f>
        <v>11981.373425281043</v>
      </c>
      <c r="N26">
        <f>'Starting population'!C25*I$5*EXP(-I$6*5-I$7*5-I$8*(B26-20))</f>
        <v>1853.8047500164796</v>
      </c>
      <c r="O26">
        <f t="shared" si="3"/>
        <v>67517.87905547298</v>
      </c>
      <c r="P26">
        <f t="shared" si="4"/>
        <v>36446.755328358144</v>
      </c>
      <c r="Q26">
        <f>H$5*'Starting population'!B25-M26</f>
        <v>98335.09592897048</v>
      </c>
      <c r="R26">
        <f>I$5*'Starting population'!C25-N26</f>
        <v>77764.1913351456</v>
      </c>
      <c r="S26">
        <f>(1-H$5)*'Starting population'!B25-O26</f>
        <v>137355.56403099414</v>
      </c>
      <c r="T26">
        <f>(1-I$5)*'Starting population'!C25-P26</f>
        <v>202407.2329271281</v>
      </c>
      <c r="U26">
        <f t="shared" si="5"/>
        <v>5928.682395113581</v>
      </c>
      <c r="V26">
        <f t="shared" si="6"/>
        <v>12357.754745844913</v>
      </c>
      <c r="W26">
        <f t="shared" si="7"/>
        <v>11010.410162353794</v>
      </c>
      <c r="X26">
        <f t="shared" si="8"/>
        <v>37073.26423753474</v>
      </c>
      <c r="Y26">
        <f t="shared" si="9"/>
        <v>92406.41353385689</v>
      </c>
      <c r="Z26">
        <f t="shared" si="10"/>
        <v>65406.43658930069</v>
      </c>
      <c r="AA26">
        <f t="shared" si="11"/>
        <v>126345.15386864034</v>
      </c>
      <c r="AB26">
        <f t="shared" si="12"/>
        <v>165333.96868959334</v>
      </c>
      <c r="AD26" t="s">
        <v>11</v>
      </c>
      <c r="AE26">
        <f>SUM(C70:C74)</f>
        <v>0</v>
      </c>
      <c r="AF26">
        <f>SUM(D70:D74)</f>
        <v>0</v>
      </c>
      <c r="AG26">
        <f>SUM(E70:E74)</f>
        <v>286112.729387415</v>
      </c>
      <c r="AH26">
        <f>SUM(F70:F74)</f>
        <v>338444.23945690395</v>
      </c>
      <c r="AI26">
        <f aca="true" t="shared" si="62" ref="AI26:BB26">SUM(I70:I74)</f>
        <v>226378.89154809687</v>
      </c>
      <c r="AJ26">
        <f t="shared" si="62"/>
        <v>159206.59171473188</v>
      </c>
      <c r="AK26">
        <f t="shared" si="62"/>
        <v>59733.83783931813</v>
      </c>
      <c r="AL26">
        <f t="shared" si="62"/>
        <v>179237.64774217203</v>
      </c>
      <c r="AM26">
        <f t="shared" si="62"/>
        <v>0</v>
      </c>
      <c r="AN26">
        <f t="shared" si="62"/>
        <v>0</v>
      </c>
      <c r="AO26">
        <f t="shared" si="62"/>
        <v>0</v>
      </c>
      <c r="AP26">
        <f t="shared" si="62"/>
        <v>0</v>
      </c>
      <c r="AQ26">
        <f t="shared" si="62"/>
        <v>100139.45528559525</v>
      </c>
      <c r="AR26">
        <f t="shared" si="62"/>
        <v>84611.05986422599</v>
      </c>
      <c r="AS26">
        <f t="shared" si="62"/>
        <v>185973.27410181976</v>
      </c>
      <c r="AT26">
        <f t="shared" si="62"/>
        <v>253833.17959267797</v>
      </c>
      <c r="AU26">
        <f t="shared" si="62"/>
        <v>79232.6120418339</v>
      </c>
      <c r="AV26">
        <f t="shared" si="62"/>
        <v>39801.64792868297</v>
      </c>
      <c r="AW26">
        <f t="shared" si="62"/>
        <v>147146.27950626297</v>
      </c>
      <c r="AX26">
        <f t="shared" si="62"/>
        <v>119404.94378604891</v>
      </c>
      <c r="AY26">
        <f t="shared" si="62"/>
        <v>20906.843243761345</v>
      </c>
      <c r="AZ26">
        <f t="shared" si="62"/>
        <v>44809.41193554301</v>
      </c>
      <c r="BA26">
        <f t="shared" si="62"/>
        <v>38826.99459555678</v>
      </c>
      <c r="BB26">
        <f t="shared" si="62"/>
        <v>134428.23580662903</v>
      </c>
      <c r="BD26">
        <f>AY26/(1+'Partner acquisition'!B15*MeanDurSTrel+'Partner acquisition'!B$22*('Partner acquisition'!B15*MeanDurSTrel)^2)</f>
        <v>8368.437489674443</v>
      </c>
      <c r="BE26">
        <f>AZ26/(1+'Partner acquisition'!C15*MeanDurSTrel+'Partner acquisition'!C$22*('Partner acquisition'!C15*MeanDurSTrel)^2)</f>
        <v>42578.96669742535</v>
      </c>
      <c r="BF26">
        <f>AY26*'Partner acquisition'!B15*MeanDurSTrel/(1+'Partner acquisition'!B15*MeanDurSTrel+'Partner acquisition'!B$22*('Partner acquisition'!B15*MeanDurSTrel)^2)</f>
        <v>7838.931196242774</v>
      </c>
      <c r="BG26">
        <f>AZ26*'Partner acquisition'!C15*MeanDurSTrel/(1+'Partner acquisition'!C15*MeanDurSTrel+'Partner acquisition'!C$22*('Partner acquisition'!C15*MeanDurSTrel)^2)</f>
        <v>2170.687617110494</v>
      </c>
      <c r="BH26">
        <f>AY26*'Partner acquisition'!B$22*(('Partner acquisition'!B15*MeanDurSTrel)^2)/(1+'Partner acquisition'!B15*MeanDurSTrel+'Partner acquisition'!B$22*('Partner acquisition'!B15*MeanDurSTrel)^2)</f>
        <v>4699.474557844126</v>
      </c>
      <c r="BI26">
        <f>AZ26*'Partner acquisition'!C$22*(('Partner acquisition'!C15*MeanDurSTrel)^2)/(1+'Partner acquisition'!C15*MeanDurSTrel+'Partner acquisition'!C$22*('Partner acquisition'!C15*MeanDurSTrel)^2)</f>
        <v>59.757621007166115</v>
      </c>
      <c r="BJ26">
        <f>BA26/(1+'Partner acquisition'!B15*'Partner acquisition'!B$26*MeanDurSTrel)</f>
        <v>32960.715654323816</v>
      </c>
      <c r="BK26">
        <f>BB26/(1+'Partner acquisition'!C15*'Partner acquisition'!C$26*MeanDurSTrel)</f>
        <v>130438.36522746558</v>
      </c>
      <c r="BL26">
        <f>BA26*'Partner acquisition'!B15*'Partner acquisition'!B$26*MeanDurSTrel/(1+'Partner acquisition'!B15*'Partner acquisition'!B$26*MeanDurSTrel)</f>
        <v>5866.278941232964</v>
      </c>
      <c r="BM26">
        <f>BB26*'Partner acquisition'!C15*'Partner acquisition'!C$26*MeanDurSTrel/(1+'Partner acquisition'!C15*'Partner acquisition'!C$26*MeanDurSTrel)</f>
        <v>3989.870579163441</v>
      </c>
      <c r="BN26">
        <f>AU26/(1+'Partner acquisition'!B15*'Partner acquisition'!B$23*MeanDurSTrel)</f>
        <v>57246.61574678883</v>
      </c>
      <c r="BO26">
        <f>AV26/(1+'Partner acquisition'!C15*'Partner acquisition'!C$23*MeanDurSTrel)</f>
        <v>39459.66492267481</v>
      </c>
      <c r="BP26">
        <f t="shared" si="14"/>
        <v>21985.996295045064</v>
      </c>
      <c r="BQ26">
        <f t="shared" si="15"/>
        <v>341.98300600815855</v>
      </c>
      <c r="BS26">
        <f t="shared" si="16"/>
        <v>0</v>
      </c>
      <c r="BT26">
        <f t="shared" si="17"/>
        <v>0</v>
      </c>
      <c r="BU26">
        <f t="shared" si="18"/>
        <v>8368.437489674443</v>
      </c>
      <c r="BV26">
        <f t="shared" si="19"/>
        <v>42578.96669742535</v>
      </c>
      <c r="BW26">
        <f>'Sex work'!G30*SUM('Sex work'!E$19:E$34)/'Sex work'!H$13</f>
        <v>0</v>
      </c>
      <c r="BX26">
        <f t="shared" si="20"/>
        <v>5463.3526951083895</v>
      </c>
      <c r="BY26">
        <f t="shared" si="21"/>
        <v>1866.4026978797858</v>
      </c>
      <c r="BZ26">
        <f t="shared" si="22"/>
        <v>2375.5785011343846</v>
      </c>
      <c r="CA26">
        <f t="shared" si="23"/>
        <v>304.2849192307083</v>
      </c>
      <c r="CB26">
        <f t="shared" si="24"/>
        <v>31590.358079782858</v>
      </c>
      <c r="CC26">
        <f t="shared" si="25"/>
        <v>26258.08584927993</v>
      </c>
      <c r="CD26">
        <f t="shared" si="26"/>
        <v>25656.257667005975</v>
      </c>
      <c r="CE26">
        <f t="shared" si="27"/>
        <v>13201.579073394883</v>
      </c>
      <c r="CF26">
        <f t="shared" si="28"/>
        <v>2282.7275143185584</v>
      </c>
      <c r="CG26">
        <f t="shared" si="29"/>
        <v>44.1783355129267</v>
      </c>
      <c r="CH26">
        <f t="shared" si="30"/>
        <v>431.5929780308027</v>
      </c>
      <c r="CI26">
        <f t="shared" si="30"/>
        <v>1.174247108290962</v>
      </c>
      <c r="CJ26">
        <f t="shared" si="31"/>
        <v>1985.1540654947648</v>
      </c>
      <c r="CK26">
        <f t="shared" si="32"/>
        <v>14.405038385948453</v>
      </c>
      <c r="CL26">
        <f t="shared" si="33"/>
        <v>8455.772054066849</v>
      </c>
      <c r="CM26">
        <f t="shared" si="34"/>
        <v>195.66908810042355</v>
      </c>
      <c r="CN26">
        <f t="shared" si="35"/>
        <v>3676.7441941135053</v>
      </c>
      <c r="CO26">
        <f t="shared" si="36"/>
        <v>31.90048575059369</v>
      </c>
      <c r="CP26">
        <f t="shared" si="37"/>
        <v>6867.3949831371665</v>
      </c>
      <c r="CQ26">
        <f t="shared" si="38"/>
        <v>98.37506639303065</v>
      </c>
      <c r="CR26">
        <f t="shared" si="39"/>
        <v>2986.0850637275435</v>
      </c>
      <c r="CS26">
        <f t="shared" si="40"/>
        <v>16.03836576411064</v>
      </c>
      <c r="CU26">
        <f t="shared" si="41"/>
        <v>0</v>
      </c>
      <c r="CV26">
        <f t="shared" si="42"/>
        <v>0</v>
      </c>
      <c r="CW26">
        <f t="shared" si="43"/>
        <v>32960.715654323816</v>
      </c>
      <c r="CX26">
        <f t="shared" si="44"/>
        <v>130438.36522746558</v>
      </c>
      <c r="CY26">
        <f t="shared" si="45"/>
        <v>1383.7907754755113</v>
      </c>
      <c r="CZ26">
        <f t="shared" si="46"/>
        <v>1801.6659827542287</v>
      </c>
      <c r="DA26">
        <f t="shared" si="47"/>
        <v>4482.488165757452</v>
      </c>
      <c r="DB26">
        <f t="shared" si="48"/>
        <v>2188.2045964092126</v>
      </c>
      <c r="DC26">
        <f t="shared" si="49"/>
        <v>19926.05868313978</v>
      </c>
      <c r="DD26">
        <f t="shared" si="50"/>
        <v>24110.613649106035</v>
      </c>
      <c r="DE26">
        <f t="shared" si="51"/>
        <v>127220.22082312319</v>
      </c>
      <c r="DF26">
        <f t="shared" si="52"/>
        <v>95294.33013694288</v>
      </c>
    </row>
    <row r="27" spans="2:110" ht="12.75">
      <c r="B27">
        <v>22</v>
      </c>
      <c r="C27">
        <f>'Starting population'!B26*(H$5*EXP(-H$6*5-H$7*5-H$8*(B27-20))+(1-H$5)*EXP(-(H$6*5+H$7*5+H$8*(B27-20))*H$10))</f>
        <v>49259.930826801035</v>
      </c>
      <c r="D27">
        <f>'Starting population'!C26*(I$5*EXP(-I$6*5-I$7*5-I$8*(B27-20))+(1-I$5)*EXP(-(I$6*5+I$7*5+I$8*(B27-20))*I$10))</f>
        <v>23359.375646982586</v>
      </c>
      <c r="E27">
        <f>'Starting population'!B26-C27</f>
        <v>260736.293933745</v>
      </c>
      <c r="F27">
        <f>'Starting population'!C26-D27</f>
        <v>288302.8795437148</v>
      </c>
      <c r="G27">
        <f>(1-G26)*Marriage!B$24+G26*(1-Divorce!B$24)</f>
        <v>0.08590750005191367</v>
      </c>
      <c r="H27">
        <f>(1-H26)*Marriage!C$24+H26*(1-Divorce!C$24)</f>
        <v>0.21054212514287043</v>
      </c>
      <c r="I27">
        <f>'Starting population'!B26*G27</f>
        <v>26631.00069470965</v>
      </c>
      <c r="J27">
        <f>'Starting population'!C26*H27</f>
        <v>65618.03353466903</v>
      </c>
      <c r="K27">
        <f t="shared" si="1"/>
        <v>234105.29323903535</v>
      </c>
      <c r="L27">
        <f t="shared" si="2"/>
        <v>222684.84600904578</v>
      </c>
      <c r="M27">
        <f>'Starting population'!B26*H$5*EXP(-H$6*5-H$7*5-H$8*(B27-20))</f>
        <v>5190.02230426379</v>
      </c>
      <c r="N27">
        <f>'Starting population'!C26*I$5*EXP(-I$6*5-I$7*5-I$8*(B27-20))</f>
        <v>730.2456642604396</v>
      </c>
      <c r="O27">
        <f t="shared" si="3"/>
        <v>44069.90852253725</v>
      </c>
      <c r="P27">
        <f t="shared" si="4"/>
        <v>22629.129982722145</v>
      </c>
      <c r="Q27">
        <f>H$5*'Starting population'!B26-M27</f>
        <v>103308.65636192732</v>
      </c>
      <c r="R27">
        <f>I$5*'Starting population'!C26-N27</f>
        <v>77185.31813341391</v>
      </c>
      <c r="S27">
        <f>(1-H$5)*'Starting population'!B26-O27</f>
        <v>157427.6375718177</v>
      </c>
      <c r="T27">
        <f>(1-I$5)*'Starting population'!C26-P27</f>
        <v>211117.5614103009</v>
      </c>
      <c r="U27">
        <f t="shared" si="5"/>
        <v>9320.850243148378</v>
      </c>
      <c r="V27">
        <f t="shared" si="6"/>
        <v>16404.508383667257</v>
      </c>
      <c r="W27">
        <f t="shared" si="7"/>
        <v>17310.150451561276</v>
      </c>
      <c r="X27">
        <f t="shared" si="8"/>
        <v>49213.52515100177</v>
      </c>
      <c r="Y27">
        <f t="shared" si="9"/>
        <v>93987.80611877894</v>
      </c>
      <c r="Z27">
        <f t="shared" si="10"/>
        <v>60780.80974974665</v>
      </c>
      <c r="AA27">
        <f t="shared" si="11"/>
        <v>140117.4871202564</v>
      </c>
      <c r="AB27">
        <f t="shared" si="12"/>
        <v>161904.03625929914</v>
      </c>
      <c r="AD27" t="s">
        <v>12</v>
      </c>
      <c r="AE27">
        <f>SUM(C75:C79)</f>
        <v>0</v>
      </c>
      <c r="AF27">
        <f>SUM(D75:D79)</f>
        <v>0</v>
      </c>
      <c r="AG27">
        <f>SUM(E75:E79)</f>
        <v>185928.85317504275</v>
      </c>
      <c r="AH27">
        <f>SUM(F75:F79)</f>
        <v>228653.84078995814</v>
      </c>
      <c r="AI27">
        <f aca="true" t="shared" si="63" ref="AI27:BB27">SUM(I75:I79)</f>
        <v>142334.5865289868</v>
      </c>
      <c r="AJ27">
        <f t="shared" si="63"/>
        <v>87105.56270045563</v>
      </c>
      <c r="AK27">
        <f t="shared" si="63"/>
        <v>43594.26664605594</v>
      </c>
      <c r="AL27">
        <f t="shared" si="63"/>
        <v>141548.27808950254</v>
      </c>
      <c r="AM27">
        <f t="shared" si="63"/>
        <v>0</v>
      </c>
      <c r="AN27">
        <f t="shared" si="63"/>
        <v>0</v>
      </c>
      <c r="AO27">
        <f t="shared" si="63"/>
        <v>0</v>
      </c>
      <c r="AP27">
        <f t="shared" si="63"/>
        <v>0</v>
      </c>
      <c r="AQ27">
        <f t="shared" si="63"/>
        <v>65075.09861126496</v>
      </c>
      <c r="AR27">
        <f t="shared" si="63"/>
        <v>57163.460197489534</v>
      </c>
      <c r="AS27">
        <f t="shared" si="63"/>
        <v>120853.7545637778</v>
      </c>
      <c r="AT27">
        <f t="shared" si="63"/>
        <v>171490.38059246866</v>
      </c>
      <c r="AU27">
        <f t="shared" si="63"/>
        <v>49817.105285145386</v>
      </c>
      <c r="AV27">
        <f t="shared" si="63"/>
        <v>21776.390675113907</v>
      </c>
      <c r="AW27">
        <f t="shared" si="63"/>
        <v>92517.48124384145</v>
      </c>
      <c r="AX27">
        <f t="shared" si="63"/>
        <v>65329.17202534174</v>
      </c>
      <c r="AY27">
        <f t="shared" si="63"/>
        <v>15257.993326119577</v>
      </c>
      <c r="AZ27">
        <f t="shared" si="63"/>
        <v>35387.069522375634</v>
      </c>
      <c r="BA27">
        <f t="shared" si="63"/>
        <v>28336.273319936357</v>
      </c>
      <c r="BB27">
        <f t="shared" si="63"/>
        <v>106161.20856712692</v>
      </c>
      <c r="BD27">
        <f>AY27/(1+'Partner acquisition'!B16*MeanDurSTrel+'Partner acquisition'!B$22*('Partner acquisition'!B16*MeanDurSTrel)^2)</f>
        <v>8571.235148460675</v>
      </c>
      <c r="BE27">
        <f>AZ27/(1+'Partner acquisition'!C16*MeanDurSTrel+'Partner acquisition'!C$22*('Partner acquisition'!C16*MeanDurSTrel)^2)</f>
        <v>34641.805743659475</v>
      </c>
      <c r="BF27">
        <f>AY27*'Partner acquisition'!B16*MeanDurSTrel/(1+'Partner acquisition'!B16*MeanDurSTrel+'Partner acquisition'!B$22*('Partner acquisition'!B16*MeanDurSTrel)^2)</f>
        <v>4896.518059261557</v>
      </c>
      <c r="BG27">
        <f>AZ27*'Partner acquisition'!C16*MeanDurSTrel/(1+'Partner acquisition'!C16*MeanDurSTrel+'Partner acquisition'!C$22*('Partner acquisition'!C16*MeanDurSTrel)^2)</f>
        <v>736.8013682814376</v>
      </c>
      <c r="BH27">
        <f>AY27*'Partner acquisition'!B$22*(('Partner acquisition'!B16*MeanDurSTrel)^2)/(1+'Partner acquisition'!B16*MeanDurSTrel+'Partner acquisition'!B$22*('Partner acquisition'!B16*MeanDurSTrel)^2)</f>
        <v>1790.240118397345</v>
      </c>
      <c r="BI27">
        <f>AZ27*'Partner acquisition'!C$22*(('Partner acquisition'!C16*MeanDurSTrel)^2)/(1+'Partner acquisition'!C16*MeanDurSTrel+'Partner acquisition'!C$22*('Partner acquisition'!C16*MeanDurSTrel)^2)</f>
        <v>8.462410434721965</v>
      </c>
      <c r="BJ27">
        <f>BA27/(1+'Partner acquisition'!B16*'Partner acquisition'!B$26*MeanDurSTrel)</f>
        <v>25561.751410798923</v>
      </c>
      <c r="BK27">
        <f>BB27/(1+'Partner acquisition'!C16*'Partner acquisition'!C$26*MeanDurSTrel)</f>
        <v>104823.50517010024</v>
      </c>
      <c r="BL27">
        <f>BA27*'Partner acquisition'!B16*'Partner acquisition'!B$26*MeanDurSTrel/(1+'Partner acquisition'!B16*'Partner acquisition'!B$26*MeanDurSTrel)</f>
        <v>2774.521909137434</v>
      </c>
      <c r="BM27">
        <f>BB27*'Partner acquisition'!C16*'Partner acquisition'!C$26*MeanDurSTrel/(1+'Partner acquisition'!C16*'Partner acquisition'!C$26*MeanDurSTrel)</f>
        <v>1337.7033970266825</v>
      </c>
      <c r="BN27">
        <f>AU27/(1+'Partner acquisition'!B16*'Partner acquisition'!B$23*MeanDurSTrel)</f>
        <v>40363.1620752271</v>
      </c>
      <c r="BO27">
        <f>AV27/(1+'Partner acquisition'!C16*'Partner acquisition'!C$23*MeanDurSTrel)</f>
        <v>21697.936284644464</v>
      </c>
      <c r="BP27">
        <f t="shared" si="14"/>
        <v>9453.943209918289</v>
      </c>
      <c r="BQ27">
        <f t="shared" si="15"/>
        <v>78.45439046944375</v>
      </c>
      <c r="BS27">
        <f t="shared" si="16"/>
        <v>0</v>
      </c>
      <c r="BT27">
        <f t="shared" si="17"/>
        <v>0</v>
      </c>
      <c r="BU27">
        <f t="shared" si="18"/>
        <v>8571.235148460675</v>
      </c>
      <c r="BV27">
        <f t="shared" si="19"/>
        <v>34641.805743659475</v>
      </c>
      <c r="BW27">
        <f>'Sex work'!G31*SUM('Sex work'!E$19:E$34)/'Sex work'!H$13</f>
        <v>0</v>
      </c>
      <c r="BX27">
        <f t="shared" si="20"/>
        <v>3412.6342566363596</v>
      </c>
      <c r="BY27">
        <f t="shared" si="21"/>
        <v>633.5172554181447</v>
      </c>
      <c r="BZ27">
        <f t="shared" si="22"/>
        <v>1483.8838026251974</v>
      </c>
      <c r="CA27">
        <f t="shared" si="23"/>
        <v>103.28411286329289</v>
      </c>
      <c r="CB27">
        <f t="shared" si="24"/>
        <v>22273.574193951536</v>
      </c>
      <c r="CC27">
        <f t="shared" si="25"/>
        <v>14438.700248237676</v>
      </c>
      <c r="CD27">
        <f t="shared" si="26"/>
        <v>18089.58788127556</v>
      </c>
      <c r="CE27">
        <f t="shared" si="27"/>
        <v>7259.236036406788</v>
      </c>
      <c r="CF27">
        <f t="shared" si="28"/>
        <v>869.593041775561</v>
      </c>
      <c r="CG27">
        <f t="shared" si="29"/>
        <v>6.256192953002702</v>
      </c>
      <c r="CH27">
        <f t="shared" si="30"/>
        <v>164.4130752446888</v>
      </c>
      <c r="CI27">
        <f t="shared" si="30"/>
        <v>0.16628776070171689</v>
      </c>
      <c r="CJ27">
        <f t="shared" si="31"/>
        <v>756.2340013770952</v>
      </c>
      <c r="CK27">
        <f t="shared" si="32"/>
        <v>2.0399297210175464</v>
      </c>
      <c r="CL27">
        <f t="shared" si="33"/>
        <v>3635.968446568787</v>
      </c>
      <c r="CM27">
        <f t="shared" si="34"/>
        <v>44.88848501514252</v>
      </c>
      <c r="CN27">
        <f t="shared" si="35"/>
        <v>1580.9941174409996</v>
      </c>
      <c r="CO27">
        <f t="shared" si="36"/>
        <v>7.318296878127029</v>
      </c>
      <c r="CP27">
        <f t="shared" si="37"/>
        <v>2952.968848870784</v>
      </c>
      <c r="CQ27">
        <f t="shared" si="38"/>
        <v>22.5682438473921</v>
      </c>
      <c r="CR27">
        <f t="shared" si="39"/>
        <v>1284.0117970377185</v>
      </c>
      <c r="CS27">
        <f t="shared" si="40"/>
        <v>3.679364728782098</v>
      </c>
      <c r="CU27">
        <f t="shared" si="41"/>
        <v>0</v>
      </c>
      <c r="CV27">
        <f t="shared" si="42"/>
        <v>0</v>
      </c>
      <c r="CW27">
        <f t="shared" si="43"/>
        <v>25561.751410798923</v>
      </c>
      <c r="CX27">
        <f t="shared" si="44"/>
        <v>104823.50517010024</v>
      </c>
      <c r="CY27">
        <f t="shared" si="45"/>
        <v>654.4792470117584</v>
      </c>
      <c r="CZ27">
        <f t="shared" si="46"/>
        <v>604.0533540170806</v>
      </c>
      <c r="DA27">
        <f t="shared" si="47"/>
        <v>2120.042662125675</v>
      </c>
      <c r="DB27">
        <f t="shared" si="48"/>
        <v>733.650043009602</v>
      </c>
      <c r="DC27">
        <f t="shared" si="49"/>
        <v>12528.408918436866</v>
      </c>
      <c r="DD27">
        <f t="shared" si="50"/>
        <v>13191.467428194006</v>
      </c>
      <c r="DE27">
        <f t="shared" si="51"/>
        <v>79989.07232540459</v>
      </c>
      <c r="DF27">
        <f t="shared" si="52"/>
        <v>52137.70459714773</v>
      </c>
    </row>
    <row r="28" spans="2:110" ht="12.75">
      <c r="B28">
        <v>23</v>
      </c>
      <c r="C28">
        <f>'Starting population'!B27*(H$5*EXP(-H$6*5-H$7*5-H$8*(B28-20))+(1-H$5)*EXP(-(H$6*5+H$7*5+H$8*(B28-20))*H$10))</f>
        <v>30822.921896356303</v>
      </c>
      <c r="D28">
        <f>'Starting population'!C27*(I$5*EXP(-I$6*5-I$7*5-I$8*(B28-20))+(1-I$5)*EXP(-(I$6*5+I$7*5+I$8*(B28-20))*I$10))</f>
        <v>14234.6574724302</v>
      </c>
      <c r="E28">
        <f>'Starting population'!B27-C28</f>
        <v>272194.0153176208</v>
      </c>
      <c r="F28">
        <f>'Starting population'!C27-D28</f>
        <v>288572.0770297321</v>
      </c>
      <c r="G28">
        <f>(1-G27)*Marriage!B$24+G27*(1-Divorce!B$24)</f>
        <v>0.11637575293395921</v>
      </c>
      <c r="H28">
        <f>(1-H27)*Marriage!C$24+H27*(1-Divorce!C$24)</f>
        <v>0.26064138706302364</v>
      </c>
      <c r="I28">
        <f>'Starting population'!B27*G28</f>
        <v>35263.82422001884</v>
      </c>
      <c r="J28">
        <f>'Starting population'!C27*H28</f>
        <v>78923.96729266833</v>
      </c>
      <c r="K28">
        <f t="shared" si="1"/>
        <v>236930.191097602</v>
      </c>
      <c r="L28">
        <f t="shared" si="2"/>
        <v>209648.1097370638</v>
      </c>
      <c r="M28">
        <f>'Starting population'!B27*H$5*EXP(-H$6*5-H$7*5-H$8*(B28-20))</f>
        <v>2234.38624104414</v>
      </c>
      <c r="N28">
        <f>'Starting population'!C27*I$5*EXP(-I$6*5-I$7*5-I$8*(B28-20))</f>
        <v>285.5895613602309</v>
      </c>
      <c r="O28">
        <f t="shared" si="3"/>
        <v>28588.535655312164</v>
      </c>
      <c r="P28">
        <f t="shared" si="4"/>
        <v>13949.06791106997</v>
      </c>
      <c r="Q28">
        <f>H$5*'Starting population'!B27-M28</f>
        <v>103821.54178384786</v>
      </c>
      <c r="R28">
        <f>I$5*'Starting population'!C27-N28</f>
        <v>75416.09406418035</v>
      </c>
      <c r="S28">
        <f>(1-H$5)*'Starting population'!B27-O28</f>
        <v>168372.473533773</v>
      </c>
      <c r="T28">
        <f>(1-I$5)*'Starting population'!C27-P28</f>
        <v>213155.98296555178</v>
      </c>
      <c r="U28">
        <f t="shared" si="5"/>
        <v>12342.338477006593</v>
      </c>
      <c r="V28">
        <f t="shared" si="6"/>
        <v>19730.99182316708</v>
      </c>
      <c r="W28">
        <f t="shared" si="7"/>
        <v>22921.485743012247</v>
      </c>
      <c r="X28">
        <f t="shared" si="8"/>
        <v>59192.975469501245</v>
      </c>
      <c r="Y28">
        <f t="shared" si="9"/>
        <v>91479.20330684127</v>
      </c>
      <c r="Z28">
        <f t="shared" si="10"/>
        <v>55685.102241013265</v>
      </c>
      <c r="AA28">
        <f t="shared" si="11"/>
        <v>145450.98779076076</v>
      </c>
      <c r="AB28">
        <f t="shared" si="12"/>
        <v>153963.00749605053</v>
      </c>
      <c r="AD28" t="s">
        <v>13</v>
      </c>
      <c r="AE28">
        <f>SUM(C80:C84)</f>
        <v>0</v>
      </c>
      <c r="AF28">
        <f>SUM(D80:D84)</f>
        <v>0</v>
      </c>
      <c r="AG28">
        <f>SUM(E80:E84)</f>
        <v>50680.95996514426</v>
      </c>
      <c r="AH28">
        <f>SUM(F80:F84)</f>
        <v>69925.26271355251</v>
      </c>
      <c r="AI28">
        <f aca="true" t="shared" si="64" ref="AI28:BB28">SUM(I80:I84)</f>
        <v>36813.086697882296</v>
      </c>
      <c r="AJ28">
        <f t="shared" si="64"/>
        <v>20464.791428096723</v>
      </c>
      <c r="AK28">
        <f t="shared" si="64"/>
        <v>13867.873267261972</v>
      </c>
      <c r="AL28">
        <f t="shared" si="64"/>
        <v>49460.47128545577</v>
      </c>
      <c r="AM28">
        <f t="shared" si="64"/>
        <v>0</v>
      </c>
      <c r="AN28">
        <f t="shared" si="64"/>
        <v>0</v>
      </c>
      <c r="AO28">
        <f t="shared" si="64"/>
        <v>0</v>
      </c>
      <c r="AP28">
        <f t="shared" si="64"/>
        <v>0</v>
      </c>
      <c r="AQ28">
        <f t="shared" si="64"/>
        <v>17738.335987800492</v>
      </c>
      <c r="AR28">
        <f t="shared" si="64"/>
        <v>17481.315678388128</v>
      </c>
      <c r="AS28">
        <f t="shared" si="64"/>
        <v>32942.62397734378</v>
      </c>
      <c r="AT28">
        <f t="shared" si="64"/>
        <v>52443.947035164376</v>
      </c>
      <c r="AU28">
        <f t="shared" si="64"/>
        <v>12884.580344258802</v>
      </c>
      <c r="AV28">
        <f t="shared" si="64"/>
        <v>5116.197857024181</v>
      </c>
      <c r="AW28">
        <f t="shared" si="64"/>
        <v>23928.506353623492</v>
      </c>
      <c r="AX28">
        <f t="shared" si="64"/>
        <v>15348.593571072543</v>
      </c>
      <c r="AY28">
        <f t="shared" si="64"/>
        <v>4853.75564354169</v>
      </c>
      <c r="AZ28">
        <f t="shared" si="64"/>
        <v>12365.117821363943</v>
      </c>
      <c r="BA28">
        <f t="shared" si="64"/>
        <v>9014.117623720282</v>
      </c>
      <c r="BB28">
        <f t="shared" si="64"/>
        <v>37095.35346409183</v>
      </c>
      <c r="BD28">
        <f>AY28/(1+'Partner acquisition'!B17*MeanDurSTrel+'Partner acquisition'!B$22*('Partner acquisition'!B17*MeanDurSTrel)^2)</f>
        <v>3426.4323643893854</v>
      </c>
      <c r="BE28">
        <f>AZ28/(1+'Partner acquisition'!C17*MeanDurSTrel+'Partner acquisition'!C$22*('Partner acquisition'!C17*MeanDurSTrel)^2)</f>
        <v>12258.016000302801</v>
      </c>
      <c r="BF28">
        <f>AY28*'Partner acquisition'!B17*MeanDurSTrel/(1+'Partner acquisition'!B17*MeanDurSTrel+'Partner acquisition'!B$22*('Partner acquisition'!B17*MeanDurSTrel)^2)</f>
        <v>1171.1380881413843</v>
      </c>
      <c r="BG28">
        <f>AZ28*'Partner acquisition'!C17*MeanDurSTrel/(1+'Partner acquisition'!C17*MeanDurSTrel+'Partner acquisition'!C$22*('Partner acquisition'!C17*MeanDurSTrel)^2)</f>
        <v>106.60121296543531</v>
      </c>
      <c r="BH28">
        <f>AY28*'Partner acquisition'!B$22*(('Partner acquisition'!B17*MeanDurSTrel)^2)/(1+'Partner acquisition'!B17*MeanDurSTrel+'Partner acquisition'!B$22*('Partner acquisition'!B17*MeanDurSTrel)^2)</f>
        <v>256.1851910109199</v>
      </c>
      <c r="BI28">
        <f>AZ28*'Partner acquisition'!C$22*(('Partner acquisition'!C17*MeanDurSTrel)^2)/(1+'Partner acquisition'!C17*MeanDurSTrel+'Partner acquisition'!C$22*('Partner acquisition'!C17*MeanDurSTrel)^2)</f>
        <v>0.5006080957087627</v>
      </c>
      <c r="BJ28">
        <f>BA28/(1+'Partner acquisition'!B17*'Partner acquisition'!B$26*MeanDurSTrel)</f>
        <v>8464.428452817949</v>
      </c>
      <c r="BK28">
        <f>BB28/(1+'Partner acquisition'!C17*'Partner acquisition'!C$26*MeanDurSTrel)</f>
        <v>36902.7994723784</v>
      </c>
      <c r="BL28">
        <f>BA28*'Partner acquisition'!B17*'Partner acquisition'!B$26*MeanDurSTrel/(1+'Partner acquisition'!B17*'Partner acquisition'!B$26*MeanDurSTrel)</f>
        <v>549.6891709023331</v>
      </c>
      <c r="BM28">
        <f>BB28*'Partner acquisition'!C17*'Partner acquisition'!C$26*MeanDurSTrel/(1+'Partner acquisition'!C17*'Partner acquisition'!C$26*MeanDurSTrel)</f>
        <v>192.55399171343493</v>
      </c>
      <c r="BN28">
        <f>AU28/(1+'Partner acquisition'!B17*'Partner acquisition'!B$23*MeanDurSTrel)</f>
        <v>11300.915019228341</v>
      </c>
      <c r="BO28">
        <f>AV28/(1+'Partner acquisition'!C17*'Partner acquisition'!C$23*MeanDurSTrel)</f>
        <v>5108.645254488561</v>
      </c>
      <c r="BP28">
        <f t="shared" si="14"/>
        <v>1583.6653250304607</v>
      </c>
      <c r="BQ28">
        <f t="shared" si="15"/>
        <v>7.552602535620281</v>
      </c>
      <c r="BS28">
        <f t="shared" si="16"/>
        <v>0</v>
      </c>
      <c r="BT28">
        <f t="shared" si="17"/>
        <v>0</v>
      </c>
      <c r="BU28">
        <f t="shared" si="18"/>
        <v>3426.4323643893854</v>
      </c>
      <c r="BV28">
        <f t="shared" si="19"/>
        <v>12258.016000302801</v>
      </c>
      <c r="BW28">
        <f>'Sex work'!G32*SUM('Sex work'!E$19:E$34)/'Sex work'!H$13</f>
        <v>0</v>
      </c>
      <c r="BX28">
        <f t="shared" si="20"/>
        <v>816.2261244566179</v>
      </c>
      <c r="BY28">
        <f t="shared" si="21"/>
        <v>91.65795663440153</v>
      </c>
      <c r="BZ28">
        <f t="shared" si="22"/>
        <v>354.9119636847665</v>
      </c>
      <c r="CA28">
        <f t="shared" si="23"/>
        <v>14.943256331033778</v>
      </c>
      <c r="CB28">
        <f t="shared" si="24"/>
        <v>6236.175666098566</v>
      </c>
      <c r="CC28">
        <f t="shared" si="25"/>
        <v>3399.502908317755</v>
      </c>
      <c r="CD28">
        <f t="shared" si="26"/>
        <v>5064.739353129776</v>
      </c>
      <c r="CE28">
        <f t="shared" si="27"/>
        <v>1709.1423461708055</v>
      </c>
      <c r="CF28">
        <f t="shared" si="28"/>
        <v>124.43965321728615</v>
      </c>
      <c r="CG28">
        <f t="shared" si="29"/>
        <v>0.37009559684541143</v>
      </c>
      <c r="CH28">
        <f t="shared" si="30"/>
        <v>23.527679138349384</v>
      </c>
      <c r="CI28">
        <f t="shared" si="30"/>
        <v>0.009837031643253778</v>
      </c>
      <c r="CJ28">
        <f t="shared" si="31"/>
        <v>108.21785865528435</v>
      </c>
      <c r="CK28">
        <f t="shared" si="32"/>
        <v>0.12067546722009749</v>
      </c>
      <c r="CL28">
        <f t="shared" si="33"/>
        <v>609.0746500037021</v>
      </c>
      <c r="CM28">
        <f t="shared" si="34"/>
        <v>4.321299084944916</v>
      </c>
      <c r="CN28">
        <f t="shared" si="35"/>
        <v>264.83822752835084</v>
      </c>
      <c r="CO28">
        <f t="shared" si="36"/>
        <v>0.7045136317729915</v>
      </c>
      <c r="CP28">
        <f t="shared" si="37"/>
        <v>494.6628372958245</v>
      </c>
      <c r="CQ28">
        <f t="shared" si="38"/>
        <v>2.172586832762361</v>
      </c>
      <c r="CR28">
        <f t="shared" si="39"/>
        <v>215.08961020258334</v>
      </c>
      <c r="CS28">
        <f t="shared" si="40"/>
        <v>0.35420298614001233</v>
      </c>
      <c r="CU28">
        <f t="shared" si="41"/>
        <v>0</v>
      </c>
      <c r="CV28">
        <f t="shared" si="42"/>
        <v>0</v>
      </c>
      <c r="CW28">
        <f t="shared" si="43"/>
        <v>8464.428452817949</v>
      </c>
      <c r="CX28">
        <f t="shared" si="44"/>
        <v>36902.7994723784</v>
      </c>
      <c r="CY28">
        <f t="shared" si="45"/>
        <v>129.66563842147562</v>
      </c>
      <c r="CZ28">
        <f t="shared" si="46"/>
        <v>86.94968165768772</v>
      </c>
      <c r="DA28">
        <f t="shared" si="47"/>
        <v>420.02353248085745</v>
      </c>
      <c r="DB28">
        <f t="shared" si="48"/>
        <v>105.6043100557472</v>
      </c>
      <c r="DC28">
        <f t="shared" si="49"/>
        <v>3240.3185687198484</v>
      </c>
      <c r="DD28">
        <f t="shared" si="50"/>
        <v>3099.2352403127256</v>
      </c>
      <c r="DE28">
        <f t="shared" si="51"/>
        <v>20688.187784903643</v>
      </c>
      <c r="DF28">
        <f t="shared" si="52"/>
        <v>12249.358330759816</v>
      </c>
    </row>
    <row r="29" spans="2:110" ht="12.75">
      <c r="B29">
        <v>24</v>
      </c>
      <c r="C29">
        <f>'Starting population'!B28*(H$5*EXP(-H$6*5-H$7*5-H$8*(B29-20))+(1-H$5)*EXP(-(H$6*5+H$7*5+H$8*(B29-20))*H$10))</f>
        <v>19457.525978595473</v>
      </c>
      <c r="D29">
        <f>'Starting population'!C28*(I$5*EXP(-I$6*5-I$7*5-I$8*(B29-20))+(1-I$5)*EXP(-(I$6*5+I$7*5+I$8*(B29-20))*I$10))</f>
        <v>8689.48516965316</v>
      </c>
      <c r="E29">
        <f>'Starting population'!B28-C29</f>
        <v>275977.3797994703</v>
      </c>
      <c r="F29">
        <f>'Starting population'!C28-D29</f>
        <v>284814.1089268559</v>
      </c>
      <c r="G29">
        <f>(1-G28)*Marriage!B$24+G28*(1-Divorce!B$24)</f>
        <v>0.14523676061501672</v>
      </c>
      <c r="H29">
        <f>(1-H28)*Marriage!C$24+H28*(1-Divorce!C$24)</f>
        <v>0.3060051962143304</v>
      </c>
      <c r="I29">
        <f>'Starting population'!B28*G29</f>
        <v>42908.008687808964</v>
      </c>
      <c r="J29">
        <f>'Starting population'!C28*H29</f>
        <v>89813.62490111344</v>
      </c>
      <c r="K29">
        <f t="shared" si="1"/>
        <v>233069.37111166134</v>
      </c>
      <c r="L29">
        <f t="shared" si="2"/>
        <v>195000.48402574245</v>
      </c>
      <c r="M29">
        <f>'Starting population'!B28*H$5*EXP(-H$6*5-H$7*5-H$8*(B29-20))</f>
        <v>959.4706077034177</v>
      </c>
      <c r="N29">
        <f>'Starting population'!C28*I$5*EXP(-I$6*5-I$7*5-I$8*(B29-20))</f>
        <v>111.42489791990313</v>
      </c>
      <c r="O29">
        <f t="shared" si="3"/>
        <v>18498.055370892056</v>
      </c>
      <c r="P29">
        <f t="shared" si="4"/>
        <v>8578.060271733257</v>
      </c>
      <c r="Q29">
        <f>H$5*'Starting population'!B28-M29</f>
        <v>102442.7464146196</v>
      </c>
      <c r="R29">
        <f>I$5*'Starting population'!C28-N29</f>
        <v>73264.47362620736</v>
      </c>
      <c r="S29">
        <f>(1-H$5)*'Starting population'!B28-O29</f>
        <v>173534.63338485072</v>
      </c>
      <c r="T29">
        <f>(1-I$5)*'Starting population'!C28-P29</f>
        <v>211549.63530064852</v>
      </c>
      <c r="U29">
        <f t="shared" si="5"/>
        <v>15017.803040733137</v>
      </c>
      <c r="V29">
        <f t="shared" si="6"/>
        <v>22453.40622527836</v>
      </c>
      <c r="W29">
        <f t="shared" si="7"/>
        <v>27890.20564707583</v>
      </c>
      <c r="X29">
        <f t="shared" si="8"/>
        <v>67360.21867583507</v>
      </c>
      <c r="Y29">
        <f t="shared" si="9"/>
        <v>87424.94337388646</v>
      </c>
      <c r="Z29">
        <f t="shared" si="10"/>
        <v>50811.067400928994</v>
      </c>
      <c r="AA29">
        <f t="shared" si="11"/>
        <v>145644.42773777488</v>
      </c>
      <c r="AB29">
        <f t="shared" si="12"/>
        <v>144189.41662481346</v>
      </c>
      <c r="AD29" t="s">
        <v>14</v>
      </c>
      <c r="AE29">
        <f>SUM(C85:C89)</f>
        <v>0</v>
      </c>
      <c r="AF29">
        <f>SUM(D85:D89)</f>
        <v>0</v>
      </c>
      <c r="AG29">
        <f>SUM(E85:E89)</f>
        <v>5433.74084646349</v>
      </c>
      <c r="AH29">
        <f>SUM(F85:F89)</f>
        <v>9411.344456641724</v>
      </c>
      <c r="AI29">
        <f aca="true" t="shared" si="65" ref="AI29:BB29">SUM(I85:I89)</f>
        <v>3663.2936119239403</v>
      </c>
      <c r="AJ29">
        <f t="shared" si="65"/>
        <v>1943.129192321936</v>
      </c>
      <c r="AK29">
        <f t="shared" si="65"/>
        <v>1770.4472345395504</v>
      </c>
      <c r="AL29">
        <f t="shared" si="65"/>
        <v>7468.215264319789</v>
      </c>
      <c r="AM29">
        <f t="shared" si="65"/>
        <v>0</v>
      </c>
      <c r="AN29">
        <f t="shared" si="65"/>
        <v>0</v>
      </c>
      <c r="AO29">
        <f t="shared" si="65"/>
        <v>0</v>
      </c>
      <c r="AP29">
        <f t="shared" si="65"/>
        <v>0</v>
      </c>
      <c r="AQ29">
        <f t="shared" si="65"/>
        <v>1901.8092962622213</v>
      </c>
      <c r="AR29">
        <f t="shared" si="65"/>
        <v>2352.836114160431</v>
      </c>
      <c r="AS29">
        <f t="shared" si="65"/>
        <v>3531.9315502012687</v>
      </c>
      <c r="AT29">
        <f t="shared" si="65"/>
        <v>7058.508342481293</v>
      </c>
      <c r="AU29">
        <f t="shared" si="65"/>
        <v>1282.152764173379</v>
      </c>
      <c r="AV29">
        <f t="shared" si="65"/>
        <v>485.782298080484</v>
      </c>
      <c r="AW29">
        <f t="shared" si="65"/>
        <v>2381.1408477505615</v>
      </c>
      <c r="AX29">
        <f t="shared" si="65"/>
        <v>1457.3468942414518</v>
      </c>
      <c r="AY29">
        <f t="shared" si="65"/>
        <v>619.6565320888425</v>
      </c>
      <c r="AZ29">
        <f t="shared" si="65"/>
        <v>1867.0538160799472</v>
      </c>
      <c r="BA29">
        <f t="shared" si="65"/>
        <v>1150.7907024507078</v>
      </c>
      <c r="BB29">
        <f t="shared" si="65"/>
        <v>5601.161448239841</v>
      </c>
      <c r="BD29">
        <f>AY29/(1+'Partner acquisition'!B18*MeanDurSTrel+'Partner acquisition'!B$22*('Partner acquisition'!B18*MeanDurSTrel)^2)</f>
        <v>504.98763100316546</v>
      </c>
      <c r="BE29">
        <f>AZ29/(1+'Partner acquisition'!C18*MeanDurSTrel+'Partner acquisition'!C$22*('Partner acquisition'!C18*MeanDurSTrel)^2)</f>
        <v>1860.5392035339246</v>
      </c>
      <c r="BF29">
        <f>AY29*'Partner acquisition'!B18*MeanDurSTrel/(1+'Partner acquisition'!B18*MeanDurSTrel+'Partner acquisition'!B$22*('Partner acquisition'!B18*MeanDurSTrel)^2)</f>
        <v>101.58928394866271</v>
      </c>
      <c r="BG29">
        <f>AZ29*'Partner acquisition'!C18*MeanDurSTrel/(1+'Partner acquisition'!C18*MeanDurSTrel+'Partner acquisition'!C$22*('Partner acquisition'!C18*MeanDurSTrel)^2)</f>
        <v>6.502341136907834</v>
      </c>
      <c r="BH29">
        <f>AY29*'Partner acquisition'!B$22*(('Partner acquisition'!B18*MeanDurSTrel)^2)/(1+'Partner acquisition'!B18*MeanDurSTrel+'Partner acquisition'!B$22*('Partner acquisition'!B18*MeanDurSTrel)^2)</f>
        <v>13.079617137014369</v>
      </c>
      <c r="BI29">
        <f>AZ29*'Partner acquisition'!C$22*(('Partner acquisition'!C18*MeanDurSTrel)^2)/(1+'Partner acquisition'!C18*MeanDurSTrel+'Partner acquisition'!C$22*('Partner acquisition'!C18*MeanDurSTrel)^2)</f>
        <v>0.012271409114854798</v>
      </c>
      <c r="BJ29">
        <f>BA29/(1+'Partner acquisition'!B18*'Partner acquisition'!B$26*MeanDurSTrel)</f>
        <v>1108.4238104376104</v>
      </c>
      <c r="BK29">
        <f>BB29/(1+'Partner acquisition'!C18*'Partner acquisition'!C$26*MeanDurSTrel)</f>
        <v>5589.440829517359</v>
      </c>
      <c r="BL29">
        <f>BA29*'Partner acquisition'!B18*'Partner acquisition'!B$26*MeanDurSTrel/(1+'Partner acquisition'!B18*'Partner acquisition'!B$26*MeanDurSTrel)</f>
        <v>42.36689201309736</v>
      </c>
      <c r="BM29">
        <f>BB29*'Partner acquisition'!C18*'Partner acquisition'!C$26*MeanDurSTrel/(1+'Partner acquisition'!C18*'Partner acquisition'!C$26*MeanDurSTrel)</f>
        <v>11.720618722481095</v>
      </c>
      <c r="BN29">
        <f>AU29/(1+'Partner acquisition'!B18*'Partner acquisition'!B$23*MeanDurSTrel)</f>
        <v>1184.4581263823454</v>
      </c>
      <c r="BO29">
        <f>AV29/(1+'Partner acquisition'!C18*'Partner acquisition'!C$23*MeanDurSTrel)</f>
        <v>485.4938527042689</v>
      </c>
      <c r="BP29">
        <f t="shared" si="14"/>
        <v>97.69463779103353</v>
      </c>
      <c r="BQ29">
        <f t="shared" si="15"/>
        <v>0.28844537621512245</v>
      </c>
      <c r="BS29">
        <f t="shared" si="16"/>
        <v>0</v>
      </c>
      <c r="BT29">
        <f t="shared" si="17"/>
        <v>0</v>
      </c>
      <c r="BU29">
        <f t="shared" si="18"/>
        <v>504.98763100316546</v>
      </c>
      <c r="BV29">
        <f t="shared" si="19"/>
        <v>1860.5392035339246</v>
      </c>
      <c r="BW29">
        <f>'Sex work'!G33*SUM('Sex work'!E$19:E$34)/'Sex work'!H$13</f>
        <v>0</v>
      </c>
      <c r="BX29">
        <f t="shared" si="20"/>
        <v>70.80277583263901</v>
      </c>
      <c r="BY29">
        <f t="shared" si="21"/>
        <v>5.590849159868653</v>
      </c>
      <c r="BZ29">
        <f t="shared" si="22"/>
        <v>30.786508116023704</v>
      </c>
      <c r="CA29">
        <f t="shared" si="23"/>
        <v>0.9114919770391806</v>
      </c>
      <c r="CB29">
        <f t="shared" si="24"/>
        <v>653.6186612048917</v>
      </c>
      <c r="CC29">
        <f t="shared" si="25"/>
        <v>323.0676005127671</v>
      </c>
      <c r="CD29">
        <f t="shared" si="26"/>
        <v>530.8394651774537</v>
      </c>
      <c r="CE29">
        <f t="shared" si="27"/>
        <v>162.42625219150173</v>
      </c>
      <c r="CF29">
        <f t="shared" si="28"/>
        <v>6.353306427753522</v>
      </c>
      <c r="CG29">
        <f t="shared" si="29"/>
        <v>0.009072155483355503</v>
      </c>
      <c r="CH29">
        <f t="shared" si="30"/>
        <v>1.2012132084520566</v>
      </c>
      <c r="CI29">
        <f t="shared" si="30"/>
        <v>0.0002411352129638092</v>
      </c>
      <c r="CJ29">
        <f t="shared" si="31"/>
        <v>5.525097500808789</v>
      </c>
      <c r="CK29">
        <f t="shared" si="32"/>
        <v>0.0029581184185354845</v>
      </c>
      <c r="CL29">
        <f t="shared" si="33"/>
        <v>37.57317052999672</v>
      </c>
      <c r="CM29">
        <f t="shared" si="34"/>
        <v>0.16503698353201257</v>
      </c>
      <c r="CN29">
        <f t="shared" si="35"/>
        <v>16.33758995834799</v>
      </c>
      <c r="CO29">
        <f t="shared" si="36"/>
        <v>0.02690644696407994</v>
      </c>
      <c r="CP29">
        <f t="shared" si="37"/>
        <v>30.515226894527736</v>
      </c>
      <c r="CQ29">
        <f t="shared" si="38"/>
        <v>0.08297439503543175</v>
      </c>
      <c r="CR29">
        <f t="shared" si="39"/>
        <v>13.26865040816108</v>
      </c>
      <c r="CS29">
        <f t="shared" si="40"/>
        <v>0.013527550683598205</v>
      </c>
      <c r="CU29">
        <f t="shared" si="41"/>
        <v>0</v>
      </c>
      <c r="CV29">
        <f t="shared" si="42"/>
        <v>0</v>
      </c>
      <c r="CW29">
        <f t="shared" si="43"/>
        <v>1108.4238104376104</v>
      </c>
      <c r="CX29">
        <f t="shared" si="44"/>
        <v>5589.440829517359</v>
      </c>
      <c r="CY29">
        <f t="shared" si="45"/>
        <v>9.99388452894965</v>
      </c>
      <c r="CZ29">
        <f t="shared" si="46"/>
        <v>5.292562660905672</v>
      </c>
      <c r="DA29">
        <f t="shared" si="47"/>
        <v>32.37300748414771</v>
      </c>
      <c r="DB29">
        <f t="shared" si="48"/>
        <v>6.428056061575424</v>
      </c>
      <c r="DC29">
        <f t="shared" si="49"/>
        <v>322.4461564662219</v>
      </c>
      <c r="DD29">
        <f t="shared" si="50"/>
        <v>294.271969029524</v>
      </c>
      <c r="DE29">
        <f t="shared" si="51"/>
        <v>2058.6946912843396</v>
      </c>
      <c r="DF29">
        <f t="shared" si="52"/>
        <v>1163.0749252119278</v>
      </c>
    </row>
    <row r="30" spans="2:110" ht="12.75">
      <c r="B30">
        <v>25</v>
      </c>
      <c r="C30">
        <f>'Starting population'!B29*(H$5*EXP(-H$6*5-H$7*5-H$8*(B30-20))+(1-H$5)*EXP(-(H$6*5+H$7*5+H$8*(B30-20))*H$10))</f>
        <v>12359.63270349408</v>
      </c>
      <c r="D30">
        <f>'Starting population'!C29*(I$5*EXP(-I$6*5-I$7*5-I$8*(B30-20))+(1-I$5)*EXP(-(I$6*5+I$7*5+I$8*(B30-20))*I$10))</f>
        <v>5319.770081681011</v>
      </c>
      <c r="E30">
        <f>'Starting population'!B29-C30</f>
        <v>275184.1577132997</v>
      </c>
      <c r="F30">
        <f>'Starting population'!C29-D30</f>
        <v>279229.02617861406</v>
      </c>
      <c r="G30">
        <f>(1-G29)*Marriage!B$24+G29*(1-Divorce!B$24)</f>
        <v>0.17257530764594636</v>
      </c>
      <c r="H30">
        <f>(1-H29)*Marriage!C$24+H29*(1-Divorce!C$24)</f>
        <v>0.3470811542593006</v>
      </c>
      <c r="I30">
        <f>'Starting population'!B29*G30</f>
        <v>49622.95809285971</v>
      </c>
      <c r="J30">
        <f>'Starting population'!C29*H30</f>
        <v>98761.52464911777</v>
      </c>
      <c r="K30">
        <f t="shared" si="1"/>
        <v>225561.19962043996</v>
      </c>
      <c r="L30">
        <f t="shared" si="2"/>
        <v>180467.50152949628</v>
      </c>
      <c r="M30">
        <f>'Starting population'!B29*H$5*EXP(-H$6*5-H$7*5-H$8*(B30-20))</f>
        <v>411.29401249406766</v>
      </c>
      <c r="N30">
        <f>'Starting population'!C29*I$5*EXP(-I$6*5-I$7*5-I$8*(B30-20))</f>
        <v>43.48280934755037</v>
      </c>
      <c r="O30">
        <f t="shared" si="3"/>
        <v>11948.338691000014</v>
      </c>
      <c r="P30">
        <f t="shared" si="4"/>
        <v>5276.28727233346</v>
      </c>
      <c r="Q30">
        <f>H$5*'Starting population'!B29-M30</f>
        <v>100229.03263338376</v>
      </c>
      <c r="R30">
        <f>I$5*'Starting population'!C29-N30</f>
        <v>71093.71625572622</v>
      </c>
      <c r="S30">
        <f>(1-H$5)*'Starting population'!B29-O30</f>
        <v>174955.12507991595</v>
      </c>
      <c r="T30">
        <f>(1-I$5)*'Starting population'!C29-P30</f>
        <v>208135.30992288786</v>
      </c>
      <c r="U30">
        <f t="shared" si="5"/>
        <v>17368.0353325009</v>
      </c>
      <c r="V30">
        <f t="shared" si="6"/>
        <v>24690.381162279442</v>
      </c>
      <c r="W30">
        <f t="shared" si="7"/>
        <v>32254.922760358815</v>
      </c>
      <c r="X30">
        <f t="shared" si="8"/>
        <v>74071.14348683832</v>
      </c>
      <c r="Y30">
        <f t="shared" si="9"/>
        <v>82860.99730088285</v>
      </c>
      <c r="Z30">
        <f t="shared" si="10"/>
        <v>46403.335093446774</v>
      </c>
      <c r="AA30">
        <f t="shared" si="11"/>
        <v>142700.20231955714</v>
      </c>
      <c r="AB30">
        <f t="shared" si="12"/>
        <v>134064.16643604953</v>
      </c>
      <c r="AD30" t="s">
        <v>15</v>
      </c>
      <c r="AE30">
        <f>SUM(C90:C95)</f>
        <v>0</v>
      </c>
      <c r="AF30">
        <f>SUM(D90:D95)</f>
        <v>0</v>
      </c>
      <c r="AG30">
        <f>SUM(E90:E95)</f>
        <v>226.32966428760014</v>
      </c>
      <c r="AH30">
        <f>SUM(F90:F95)</f>
        <v>485.33492007109004</v>
      </c>
      <c r="AI30">
        <f aca="true" t="shared" si="66" ref="AI30:BB30">SUM(I90:I95)</f>
        <v>139.9977962910553</v>
      </c>
      <c r="AJ30">
        <f t="shared" si="66"/>
        <v>63.83331973659424</v>
      </c>
      <c r="AK30">
        <f t="shared" si="66"/>
        <v>86.33186799654484</v>
      </c>
      <c r="AL30">
        <f t="shared" si="66"/>
        <v>421.5016003344958</v>
      </c>
      <c r="AM30">
        <f t="shared" si="66"/>
        <v>0</v>
      </c>
      <c r="AN30">
        <f t="shared" si="66"/>
        <v>0</v>
      </c>
      <c r="AO30">
        <f t="shared" si="66"/>
        <v>0</v>
      </c>
      <c r="AP30">
        <f t="shared" si="66"/>
        <v>0</v>
      </c>
      <c r="AQ30">
        <f t="shared" si="66"/>
        <v>79.21538250066003</v>
      </c>
      <c r="AR30">
        <f t="shared" si="66"/>
        <v>121.33373001777251</v>
      </c>
      <c r="AS30">
        <f t="shared" si="66"/>
        <v>147.1142817869401</v>
      </c>
      <c r="AT30">
        <f t="shared" si="66"/>
        <v>364.00119005331754</v>
      </c>
      <c r="AU30">
        <f t="shared" si="66"/>
        <v>48.99922870186934</v>
      </c>
      <c r="AV30">
        <f t="shared" si="66"/>
        <v>15.95832993414856</v>
      </c>
      <c r="AW30">
        <f t="shared" si="66"/>
        <v>90.99856758918592</v>
      </c>
      <c r="AX30">
        <f t="shared" si="66"/>
        <v>47.874989802445675</v>
      </c>
      <c r="AY30">
        <f t="shared" si="66"/>
        <v>30.216153798790693</v>
      </c>
      <c r="AZ30">
        <f t="shared" si="66"/>
        <v>105.37540008362394</v>
      </c>
      <c r="BA30">
        <f t="shared" si="66"/>
        <v>56.11571419775415</v>
      </c>
      <c r="BB30">
        <f t="shared" si="66"/>
        <v>316.1262002508719</v>
      </c>
      <c r="BD30">
        <f>AY30/(1+'Partner acquisition'!B19*MeanDurSTrel+'Partner acquisition'!B$22*('Partner acquisition'!B19*MeanDurSTrel)^2)</f>
        <v>26.847934907312936</v>
      </c>
      <c r="BE30">
        <f>AZ30/(1+'Partner acquisition'!C19*MeanDurSTrel+'Partner acquisition'!C$22*('Partner acquisition'!C19*MeanDurSTrel)^2)</f>
        <v>105.22969286544306</v>
      </c>
      <c r="BF30">
        <f>AY30*'Partner acquisition'!B19*MeanDurSTrel/(1+'Partner acquisition'!B19*MeanDurSTrel+'Partner acquisition'!B$22*('Partner acquisition'!B19*MeanDurSTrel)^2)</f>
        <v>3.1340726425365317</v>
      </c>
      <c r="BG30">
        <f>AZ30*'Partner acquisition'!C19*MeanDurSTrel/(1+'Partner acquisition'!C19*MeanDurSTrel+'Partner acquisition'!C$22*('Partner acquisition'!C19*MeanDurSTrel)^2)</f>
        <v>0.14559843321995883</v>
      </c>
      <c r="BH30">
        <f>AY30*'Partner acquisition'!B$22*(('Partner acquisition'!B19*MeanDurSTrel)^2)/(1+'Partner acquisition'!B19*MeanDurSTrel+'Partner acquisition'!B$22*('Partner acquisition'!B19*MeanDurSTrel)^2)</f>
        <v>0.23414624894122088</v>
      </c>
      <c r="BI30">
        <f>AZ30*'Partner acquisition'!C$22*(('Partner acquisition'!C19*MeanDurSTrel)^2)/(1+'Partner acquisition'!C19*MeanDurSTrel+'Partner acquisition'!C$22*('Partner acquisition'!C19*MeanDurSTrel)^2)</f>
        <v>0.0001087849609419221</v>
      </c>
      <c r="BJ30">
        <f>BA30/(1+'Partner acquisition'!B19*'Partner acquisition'!B$26*MeanDurSTrel)</f>
        <v>54.898101690367604</v>
      </c>
      <c r="BK30">
        <f>BB30/(1+'Partner acquisition'!C19*'Partner acquisition'!C$26*MeanDurSTrel)</f>
        <v>315.8639778740686</v>
      </c>
      <c r="BL30">
        <f>BA30*'Partner acquisition'!B19*'Partner acquisition'!B$26*MeanDurSTrel/(1+'Partner acquisition'!B19*'Partner acquisition'!B$26*MeanDurSTrel)</f>
        <v>1.2176125073865516</v>
      </c>
      <c r="BM30">
        <f>BB30*'Partner acquisition'!C19*'Partner acquisition'!C$26*MeanDurSTrel/(1+'Partner acquisition'!C19*'Partner acquisition'!C$26*MeanDurSTrel)</f>
        <v>0.26222237680325383</v>
      </c>
      <c r="BN30">
        <f>AU30/(1+'Partner acquisition'!B19*'Partner acquisition'!B$23*MeanDurSTrel)</f>
        <v>46.76119004265964</v>
      </c>
      <c r="BO30">
        <f>AV30/(1+'Partner acquisition'!C19*'Partner acquisition'!C$23*MeanDurSTrel)</f>
        <v>15.954577158353754</v>
      </c>
      <c r="BP30">
        <f t="shared" si="14"/>
        <v>2.2380386592096997</v>
      </c>
      <c r="BQ30">
        <f t="shared" si="15"/>
        <v>0.0037527757948065954</v>
      </c>
      <c r="BS30">
        <f t="shared" si="16"/>
        <v>0</v>
      </c>
      <c r="BT30">
        <f t="shared" si="17"/>
        <v>0</v>
      </c>
      <c r="BU30">
        <f t="shared" si="18"/>
        <v>26.847934907312936</v>
      </c>
      <c r="BV30">
        <f t="shared" si="19"/>
        <v>105.22969286544306</v>
      </c>
      <c r="BW30">
        <f>'Sex work'!G34*SUM('Sex work'!E$19:E$34)/'Sex work'!H$13</f>
        <v>0</v>
      </c>
      <c r="BX30">
        <f t="shared" si="20"/>
        <v>2.184295765534251</v>
      </c>
      <c r="BY30">
        <f t="shared" si="21"/>
        <v>0.12518858375878797</v>
      </c>
      <c r="BZ30">
        <f t="shared" si="22"/>
        <v>0.9497768770022806</v>
      </c>
      <c r="CA30">
        <f t="shared" si="23"/>
        <v>0.020409849461170845</v>
      </c>
      <c r="CB30">
        <f t="shared" si="24"/>
        <v>25.80419328573596</v>
      </c>
      <c r="CC30">
        <f t="shared" si="25"/>
        <v>10.616832594345697</v>
      </c>
      <c r="CD30">
        <f t="shared" si="26"/>
        <v>20.956996756923683</v>
      </c>
      <c r="CE30">
        <f t="shared" si="27"/>
        <v>5.337744564008058</v>
      </c>
      <c r="CF30">
        <f t="shared" si="28"/>
        <v>0.11373443525520535</v>
      </c>
      <c r="CG30">
        <f t="shared" si="29"/>
        <v>8.042385928778078E-05</v>
      </c>
      <c r="CH30">
        <f t="shared" si="30"/>
        <v>0.021503654425919984</v>
      </c>
      <c r="CI30">
        <f t="shared" si="30"/>
        <v>2.1376424238220373E-06</v>
      </c>
      <c r="CJ30">
        <f t="shared" si="31"/>
        <v>0.09890815926009555</v>
      </c>
      <c r="CK30">
        <f t="shared" si="32"/>
        <v>2.6223459230319268E-05</v>
      </c>
      <c r="CL30">
        <f t="shared" si="33"/>
        <v>0.8607453806735862</v>
      </c>
      <c r="CM30">
        <f t="shared" si="34"/>
        <v>0.0021471892015524035</v>
      </c>
      <c r="CN30">
        <f t="shared" si="35"/>
        <v>0.3742698550488394</v>
      </c>
      <c r="CO30">
        <f t="shared" si="36"/>
        <v>0.00035006233837404395</v>
      </c>
      <c r="CP30">
        <f t="shared" si="37"/>
        <v>0.6990584030884929</v>
      </c>
      <c r="CQ30">
        <f t="shared" si="38"/>
        <v>0.0010795260626589435</v>
      </c>
      <c r="CR30">
        <f t="shared" si="39"/>
        <v>0.30396502039878126</v>
      </c>
      <c r="CS30">
        <f t="shared" si="40"/>
        <v>0.00017599819222120444</v>
      </c>
      <c r="CU30">
        <f t="shared" si="41"/>
        <v>0</v>
      </c>
      <c r="CV30">
        <f t="shared" si="42"/>
        <v>0</v>
      </c>
      <c r="CW30">
        <f t="shared" si="43"/>
        <v>54.898101690367604</v>
      </c>
      <c r="CX30">
        <f t="shared" si="44"/>
        <v>315.8639778740686</v>
      </c>
      <c r="CY30">
        <f t="shared" si="45"/>
        <v>0.2872214179898824</v>
      </c>
      <c r="CZ30">
        <f t="shared" si="46"/>
        <v>0.11840913804839259</v>
      </c>
      <c r="DA30">
        <f t="shared" si="47"/>
        <v>0.9303910893966691</v>
      </c>
      <c r="DB30">
        <f t="shared" si="48"/>
        <v>0.14381323875486124</v>
      </c>
      <c r="DC30">
        <f t="shared" si="49"/>
        <v>12.32272269436893</v>
      </c>
      <c r="DD30">
        <f t="shared" si="50"/>
        <v>9.667065248570763</v>
      </c>
      <c r="DE30">
        <f t="shared" si="51"/>
        <v>78.67584489481699</v>
      </c>
      <c r="DF30">
        <f t="shared" si="52"/>
        <v>38.20792455387491</v>
      </c>
    </row>
    <row r="31" spans="2:28" ht="12.75">
      <c r="B31">
        <v>26</v>
      </c>
      <c r="C31">
        <f>'Starting population'!B30*(H$5*EXP(-H$6*5-H$7*5-H$8*5-H$9*(B31-25))+(1-H$5)*EXP(-(H$6*5+H$7*5+H$8*5+H$9*(B31-25))*H$10))</f>
        <v>7166.025327544892</v>
      </c>
      <c r="D31">
        <f>'Starting population'!C30*(I$5*EXP(-I$6*5-I$7*5-I$8*5-I$9*(B31-25))+(1-I$5)*EXP(-(I$6*5+I$7*5+I$8*5+I$9*(B31-25))*I$10))</f>
        <v>3111.7963295323048</v>
      </c>
      <c r="E31">
        <f>'Starting population'!B30-C31</f>
        <v>271348.6123594538</v>
      </c>
      <c r="F31">
        <f>'Starting population'!C30-D31</f>
        <v>272197.76864431135</v>
      </c>
      <c r="G31">
        <f>(1-G30)*Marriage!B$25+G30*(1-Divorce!B$25)</f>
        <v>0.2589620862158727</v>
      </c>
      <c r="H31">
        <f>(1-H30)*Marriage!C$25+H30*(1-Divorce!C$25)</f>
        <v>0.39877621607003527</v>
      </c>
      <c r="I31">
        <f>'Starting population'!B30*G31</f>
        <v>72124.7316170831</v>
      </c>
      <c r="J31">
        <f>'Starting population'!C30*H31</f>
        <v>109786.90656815689</v>
      </c>
      <c r="K31">
        <f t="shared" si="1"/>
        <v>199223.8807423707</v>
      </c>
      <c r="L31">
        <f t="shared" si="2"/>
        <v>162410.86207615444</v>
      </c>
      <c r="M31">
        <f>'Starting population'!B30*H$5*EXP(-H$6*5-H$7*5-H$8*5-H$9*(B31-25))</f>
        <v>146.5554377408038</v>
      </c>
      <c r="N31">
        <f>'Starting population'!C30*I$5*EXP(-I$6*5-I$7*5-I$8*5-I$9*(B31-25))</f>
        <v>15.477031299127741</v>
      </c>
      <c r="O31">
        <f t="shared" si="3"/>
        <v>7019.469889804089</v>
      </c>
      <c r="P31">
        <f t="shared" si="4"/>
        <v>3096.319298233177</v>
      </c>
      <c r="Q31">
        <f>H$5*'Starting population'!B30-M31</f>
        <v>97333.56775270874</v>
      </c>
      <c r="R31">
        <f>I$5*'Starting population'!C30-N31</f>
        <v>68811.91421216178</v>
      </c>
      <c r="S31">
        <f>(1-H$5)*'Starting population'!B30-O31</f>
        <v>174015.04460674507</v>
      </c>
      <c r="T31">
        <f>(1-I$5)*'Starting population'!C30-P31</f>
        <v>203385.85443214956</v>
      </c>
      <c r="U31">
        <f t="shared" si="5"/>
        <v>25243.656065979085</v>
      </c>
      <c r="V31">
        <f t="shared" si="6"/>
        <v>27446.726642039222</v>
      </c>
      <c r="W31">
        <f t="shared" si="7"/>
        <v>46881.07555110402</v>
      </c>
      <c r="X31">
        <f t="shared" si="8"/>
        <v>82340.17992611766</v>
      </c>
      <c r="Y31">
        <f t="shared" si="9"/>
        <v>72089.91168672965</v>
      </c>
      <c r="Z31">
        <f t="shared" si="10"/>
        <v>41365.18757012255</v>
      </c>
      <c r="AA31">
        <f t="shared" si="11"/>
        <v>127133.96905564105</v>
      </c>
      <c r="AB31">
        <f t="shared" si="12"/>
        <v>121045.6745060319</v>
      </c>
    </row>
    <row r="32" spans="2:28" ht="12.75">
      <c r="B32">
        <v>27</v>
      </c>
      <c r="C32">
        <f>'Starting population'!B31*(H$5*EXP(-H$6*5-H$7*5-H$8*5-H$9*(B32-25))+(1-H$5)*EXP(-(H$6*5+H$7*5+H$8*5+H$9*(B32-25))*H$10))</f>
        <v>4155.11185217116</v>
      </c>
      <c r="D32">
        <f>'Starting population'!C31*(I$5*EXP(-I$6*5-I$7*5-I$8*5-I$9*(B32-25))+(1-I$5)*EXP(-(I$6*5+I$7*5+I$8*5+I$9*(B32-25))*I$10))</f>
        <v>1819.749240644647</v>
      </c>
      <c r="E32">
        <f>'Starting population'!B31-C32</f>
        <v>264260.9839204256</v>
      </c>
      <c r="F32">
        <f>'Starting population'!C31-D32</f>
        <v>264142.29603362473</v>
      </c>
      <c r="G32">
        <f>(1-G31)*Marriage!B$25+G31*(1-Divorce!B$25)</f>
        <v>0.33352869097977933</v>
      </c>
      <c r="H32">
        <f>(1-H31)*Marriage!C$25+H31*(1-Divorce!C$25)</f>
        <v>0.44402134123358566</v>
      </c>
      <c r="I32">
        <f>'Starting population'!B31*G32</f>
        <v>89524.46906093726</v>
      </c>
      <c r="J32">
        <f>'Starting population'!C31*H32</f>
        <v>118092.82405990871</v>
      </c>
      <c r="K32">
        <f t="shared" si="1"/>
        <v>174736.51485948832</v>
      </c>
      <c r="L32">
        <f t="shared" si="2"/>
        <v>146049.47197371602</v>
      </c>
      <c r="M32">
        <f>'Starting population'!B31*H$5*EXP(-H$6*5-H$7*5-H$8*5-H$9*(B32-25))</f>
        <v>51.95986154377453</v>
      </c>
      <c r="N32">
        <f>'Starting population'!C31*I$5*EXP(-I$6*5-I$7*5-I$8*5-I$9*(B32-25))</f>
        <v>5.500365417211162</v>
      </c>
      <c r="O32">
        <f t="shared" si="3"/>
        <v>4103.151990627385</v>
      </c>
      <c r="P32">
        <f t="shared" si="4"/>
        <v>1814.2488752274357</v>
      </c>
      <c r="Q32">
        <f>H$5*'Starting population'!B31-M32</f>
        <v>93893.67365886507</v>
      </c>
      <c r="R32">
        <f>I$5*'Starting population'!C31-N32</f>
        <v>66485.01095315012</v>
      </c>
      <c r="S32">
        <f>(1-H$5)*'Starting population'!B31-O32</f>
        <v>170367.3102615605</v>
      </c>
      <c r="T32">
        <f>(1-I$5)*'Starting population'!C31-P32</f>
        <v>197657.2850804746</v>
      </c>
      <c r="U32">
        <f t="shared" si="5"/>
        <v>31333.56417132804</v>
      </c>
      <c r="V32">
        <f t="shared" si="6"/>
        <v>29523.20601497718</v>
      </c>
      <c r="W32">
        <f t="shared" si="7"/>
        <v>58190.90488960922</v>
      </c>
      <c r="X32">
        <f t="shared" si="8"/>
        <v>88569.61804493153</v>
      </c>
      <c r="Y32">
        <f t="shared" si="9"/>
        <v>62560.10948753703</v>
      </c>
      <c r="Z32">
        <f t="shared" si="10"/>
        <v>36961.80493817294</v>
      </c>
      <c r="AA32">
        <f t="shared" si="11"/>
        <v>112176.40537195126</v>
      </c>
      <c r="AB32">
        <f t="shared" si="12"/>
        <v>109087.66703554307</v>
      </c>
    </row>
    <row r="33" spans="2:28" ht="12.75">
      <c r="B33">
        <v>28</v>
      </c>
      <c r="C33">
        <f>'Starting population'!B32*(H$5*EXP(-H$6*5-H$7*5-H$8*5-H$9*(B33-25))+(1-H$5)*EXP(-(H$6*5+H$7*5+H$8*5+H$9*(B33-25))*H$10))</f>
        <v>2407.7986688786254</v>
      </c>
      <c r="D33">
        <f>'Starting population'!C32*(I$5*EXP(-I$6*5-I$7*5-I$8*5-I$9*(B33-25))+(1-I$5)*EXP(-(I$6*5+I$7*5+I$8*5+I$9*(B33-25))*I$10))</f>
        <v>1063.4185840995385</v>
      </c>
      <c r="E33">
        <f>'Starting population'!B32-C33</f>
        <v>255304.6533093437</v>
      </c>
      <c r="F33">
        <f>'Starting population'!C32-D33</f>
        <v>255489.17949292847</v>
      </c>
      <c r="G33">
        <f>(1-G32)*Marriage!B$25+G32*(1-Divorce!B$25)</f>
        <v>0.39789245865420353</v>
      </c>
      <c r="H33">
        <f>(1-H32)*Marriage!C$25+H32*(1-Divorce!C$25)</f>
        <v>0.4836212813315438</v>
      </c>
      <c r="I33">
        <f>'Starting population'!B32*G33</f>
        <v>102541.84114341823</v>
      </c>
      <c r="J33">
        <f>'Starting population'!C32*H33</f>
        <v>124074.29621094884</v>
      </c>
      <c r="K33">
        <f t="shared" si="1"/>
        <v>152762.81216592545</v>
      </c>
      <c r="L33">
        <f t="shared" si="2"/>
        <v>131414.88328197962</v>
      </c>
      <c r="M33">
        <f>'Starting population'!B32*H$5*EXP(-H$6*5-H$7*5-H$8*5-H$9*(B33-25))</f>
        <v>18.352716297209998</v>
      </c>
      <c r="N33">
        <f>'Starting population'!C32*I$5*EXP(-I$6*5-I$7*5-I$8*5-I$9*(B33-25))</f>
        <v>1.9518831454352397</v>
      </c>
      <c r="O33">
        <f t="shared" si="3"/>
        <v>2389.4459525814154</v>
      </c>
      <c r="P33">
        <f t="shared" si="4"/>
        <v>1061.4667009541033</v>
      </c>
      <c r="Q33">
        <f>H$5*'Starting population'!B32-M33</f>
        <v>90181.0054760806</v>
      </c>
      <c r="R33">
        <f>I$5*'Starting population'!C32-N33</f>
        <v>64136.19763611157</v>
      </c>
      <c r="S33">
        <f>(1-H$5)*'Starting population'!B32-O33</f>
        <v>165123.6478332631</v>
      </c>
      <c r="T33">
        <f>(1-I$5)*'Starting population'!C32-P33</f>
        <v>191352.98185681688</v>
      </c>
      <c r="U33">
        <f t="shared" si="5"/>
        <v>35889.64440019638</v>
      </c>
      <c r="V33">
        <f t="shared" si="6"/>
        <v>31018.57405273721</v>
      </c>
      <c r="W33">
        <f t="shared" si="7"/>
        <v>66652.19674322185</v>
      </c>
      <c r="X33">
        <f t="shared" si="8"/>
        <v>93055.72215821163</v>
      </c>
      <c r="Y33">
        <f t="shared" si="9"/>
        <v>54291.36107588421</v>
      </c>
      <c r="Z33">
        <f t="shared" si="10"/>
        <v>33117.623583374356</v>
      </c>
      <c r="AA33">
        <f t="shared" si="11"/>
        <v>98471.45109004124</v>
      </c>
      <c r="AB33">
        <f t="shared" si="12"/>
        <v>98297.25969860525</v>
      </c>
    </row>
    <row r="34" spans="2:28" ht="12.75">
      <c r="B34">
        <v>29</v>
      </c>
      <c r="C34">
        <f>'Starting population'!B33*(H$5*EXP(-H$6*5-H$7*5-H$8*5-H$9*(B34-25))+(1-H$5)*EXP(-(H$6*5+H$7*5+H$8*5+H$9*(B34-25))*H$10))</f>
        <v>1394.0325352475097</v>
      </c>
      <c r="D34">
        <f>'Starting population'!C33*(I$5*EXP(-I$6*5-I$7*5-I$8*5-I$9*(B34-25))+(1-I$5)*EXP(-(I$6*5+I$7*5+I$8*5+I$9*(B34-25))*I$10))</f>
        <v>620.4872838347856</v>
      </c>
      <c r="E34">
        <f>'Starting population'!B33-C34</f>
        <v>245346.12281512664</v>
      </c>
      <c r="F34">
        <f>'Starting population'!C33-D34</f>
        <v>246361.9436257739</v>
      </c>
      <c r="G34">
        <f>(1-G33)*Marriage!B$25+G33*(1-Divorce!B$25)</f>
        <v>0.4534494281898809</v>
      </c>
      <c r="H34">
        <f>(1-H33)*Marriage!C$25+H33*(1-Divorce!C$25)</f>
        <v>0.5182803799657804</v>
      </c>
      <c r="I34">
        <f>'Starting population'!B33*G34</f>
        <v>111884.18235510953</v>
      </c>
      <c r="J34">
        <f>'Starting population'!C33*H34</f>
        <v>128006.14813670408</v>
      </c>
      <c r="K34">
        <f t="shared" si="1"/>
        <v>133461.94046001713</v>
      </c>
      <c r="L34">
        <f t="shared" si="2"/>
        <v>118355.79548906983</v>
      </c>
      <c r="M34">
        <f>'Starting population'!B33*H$5*EXP(-H$6*5-H$7*5-H$8*5-H$9*(B34-25))</f>
        <v>6.464133247162858</v>
      </c>
      <c r="N34">
        <f>'Starting population'!C33*I$5*EXP(-I$6*5-I$7*5-I$8*5-I$9*(B34-25))</f>
        <v>0.6912720154086971</v>
      </c>
      <c r="O34">
        <f t="shared" si="3"/>
        <v>1387.5684020003469</v>
      </c>
      <c r="P34">
        <f t="shared" si="4"/>
        <v>619.7960118193769</v>
      </c>
      <c r="Q34">
        <f>H$5*'Starting population'!B33-M34</f>
        <v>86352.59023938378</v>
      </c>
      <c r="R34">
        <f>I$5*'Starting population'!C33-N34</f>
        <v>61744.91645538677</v>
      </c>
      <c r="S34">
        <f>(1-H$5)*'Starting population'!B33-O34</f>
        <v>158993.53257574284</v>
      </c>
      <c r="T34">
        <f>(1-I$5)*'Starting population'!C33-P34</f>
        <v>184617.02717038713</v>
      </c>
      <c r="U34">
        <f t="shared" si="5"/>
        <v>39159.46382428833</v>
      </c>
      <c r="V34">
        <f t="shared" si="6"/>
        <v>32001.53703417602</v>
      </c>
      <c r="W34">
        <f t="shared" si="7"/>
        <v>72724.71853082119</v>
      </c>
      <c r="X34">
        <f t="shared" si="8"/>
        <v>96004.61110252806</v>
      </c>
      <c r="Y34">
        <f t="shared" si="9"/>
        <v>47193.126415095445</v>
      </c>
      <c r="Z34">
        <f t="shared" si="10"/>
        <v>29743.379421210746</v>
      </c>
      <c r="AA34">
        <f t="shared" si="11"/>
        <v>86268.81404492164</v>
      </c>
      <c r="AB34">
        <f t="shared" si="12"/>
        <v>88612.41606785907</v>
      </c>
    </row>
    <row r="35" spans="2:28" ht="12.75">
      <c r="B35">
        <v>30</v>
      </c>
      <c r="E35">
        <f>'Starting population'!B34-C35</f>
        <v>236035.29661034816</v>
      </c>
      <c r="F35">
        <f>'Starting population'!C34-D35</f>
        <v>237300.20705577993</v>
      </c>
      <c r="G35">
        <f>(1-G34)*Marriage!B$25+G34*(1-Divorce!B$25)</f>
        <v>0.5014046206143086</v>
      </c>
      <c r="H35">
        <f>(1-H34)*Marriage!C$25+H34*(1-Divorce!C$25)</f>
        <v>0.5486151005528875</v>
      </c>
      <c r="I35">
        <f>'Starting population'!B34*G35</f>
        <v>118349.18834849741</v>
      </c>
      <c r="J35">
        <f>'Starting population'!C34*H35</f>
        <v>130186.47695512774</v>
      </c>
      <c r="K35">
        <f t="shared" si="1"/>
        <v>117686.10826185075</v>
      </c>
      <c r="L35">
        <f t="shared" si="2"/>
        <v>107113.73010065219</v>
      </c>
      <c r="Q35">
        <f>H$5*'Starting population'!B34-M35</f>
        <v>82612.35381362186</v>
      </c>
      <c r="R35">
        <f>I$5*'Starting population'!C34-N35</f>
        <v>59325.05176394498</v>
      </c>
      <c r="S35">
        <f>(1-H$5)*'Starting population'!B34-O35</f>
        <v>153422.9427967263</v>
      </c>
      <c r="T35">
        <f>(1-I$5)*'Starting population'!C34-P35</f>
        <v>177975.15529183496</v>
      </c>
      <c r="U35">
        <f t="shared" si="5"/>
        <v>41422.21592197409</v>
      </c>
      <c r="V35">
        <f t="shared" si="6"/>
        <v>32546.619238781936</v>
      </c>
      <c r="W35">
        <f t="shared" si="7"/>
        <v>76926.97242652332</v>
      </c>
      <c r="X35">
        <f t="shared" si="8"/>
        <v>97639.85771634581</v>
      </c>
      <c r="Y35">
        <f t="shared" si="9"/>
        <v>41190.13789164776</v>
      </c>
      <c r="Z35">
        <f t="shared" si="10"/>
        <v>26778.432525163047</v>
      </c>
      <c r="AA35">
        <f t="shared" si="11"/>
        <v>76495.97037020298</v>
      </c>
      <c r="AB35">
        <f t="shared" si="12"/>
        <v>80335.29757548915</v>
      </c>
    </row>
    <row r="36" spans="2:28" ht="12.75">
      <c r="B36">
        <v>31</v>
      </c>
      <c r="E36">
        <f>'Starting population'!B35-C36</f>
        <v>226013.22098504152</v>
      </c>
      <c r="F36">
        <f>'Starting population'!C35-D36</f>
        <v>227722.0065313166</v>
      </c>
      <c r="G36">
        <f>(1-G35)*Marriage!B$26+G35*(1-Divorce!B$26)</f>
        <v>0.5477039522605723</v>
      </c>
      <c r="H36">
        <f>(1-H35)*Marriage!C$26+H35*(1-Divorce!C$26)</f>
        <v>0.5715417202618682</v>
      </c>
      <c r="I36">
        <f>'Starting population'!B35*G36</f>
        <v>123788.33439664937</v>
      </c>
      <c r="J36">
        <f>'Starting population'!C35*H36</f>
        <v>130152.62735439309</v>
      </c>
      <c r="K36">
        <f t="shared" si="1"/>
        <v>102224.88658839215</v>
      </c>
      <c r="L36">
        <f t="shared" si="2"/>
        <v>97569.37917692352</v>
      </c>
      <c r="Q36">
        <f>H$5*'Starting population'!B35-M36</f>
        <v>79104.62734476452</v>
      </c>
      <c r="R36">
        <f>I$5*'Starting population'!C35-N36</f>
        <v>56930.50163282915</v>
      </c>
      <c r="S36">
        <f>(1-H$5)*'Starting population'!B35-O36</f>
        <v>146908.593640277</v>
      </c>
      <c r="T36">
        <f>(1-I$5)*'Starting population'!C35-P36</f>
        <v>170791.50489848747</v>
      </c>
      <c r="U36">
        <f t="shared" si="5"/>
        <v>43325.917038827276</v>
      </c>
      <c r="V36">
        <f t="shared" si="6"/>
        <v>32538.156838598272</v>
      </c>
      <c r="W36">
        <f t="shared" si="7"/>
        <v>80462.4173578221</v>
      </c>
      <c r="X36">
        <f t="shared" si="8"/>
        <v>97614.47051579482</v>
      </c>
      <c r="Y36">
        <f t="shared" si="9"/>
        <v>35778.710305937246</v>
      </c>
      <c r="Z36">
        <f t="shared" si="10"/>
        <v>24392.34479423088</v>
      </c>
      <c r="AA36">
        <f t="shared" si="11"/>
        <v>66446.1762824549</v>
      </c>
      <c r="AB36">
        <f t="shared" si="12"/>
        <v>73177.03438269265</v>
      </c>
    </row>
    <row r="37" spans="2:28" ht="12.75">
      <c r="B37">
        <v>32</v>
      </c>
      <c r="E37">
        <f>'Starting population'!B36-C37</f>
        <v>216941.4330134162</v>
      </c>
      <c r="F37">
        <f>'Starting population'!C36-D37</f>
        <v>218336.6891255309</v>
      </c>
      <c r="G37">
        <f>(1-G36)*Marriage!B$26+G36*(1-Divorce!B$26)</f>
        <v>0.5871978187268777</v>
      </c>
      <c r="H37">
        <f>(1-H36)*Marriage!C$26+H36*(1-Divorce!C$26)</f>
        <v>0.5917489240422561</v>
      </c>
      <c r="I37">
        <f>'Starting population'!B36*G37</f>
        <v>127387.53625696104</v>
      </c>
      <c r="J37">
        <f>'Starting population'!C36*H37</f>
        <v>129200.50086898146</v>
      </c>
      <c r="K37">
        <f t="shared" si="1"/>
        <v>89553.89675645514</v>
      </c>
      <c r="L37">
        <f t="shared" si="2"/>
        <v>89136.18825654943</v>
      </c>
      <c r="Q37">
        <f>H$5*'Starting population'!B36-M37</f>
        <v>75929.50155469566</v>
      </c>
      <c r="R37">
        <f>I$5*'Starting population'!C36-N37</f>
        <v>54584.17228138272</v>
      </c>
      <c r="S37">
        <f>(1-H$5)*'Starting population'!B36-O37</f>
        <v>141011.93145872053</v>
      </c>
      <c r="T37">
        <f>(1-I$5)*'Starting population'!C36-P37</f>
        <v>163752.51684414817</v>
      </c>
      <c r="U37">
        <f t="shared" si="5"/>
        <v>44585.63768993636</v>
      </c>
      <c r="V37">
        <f t="shared" si="6"/>
        <v>32300.125217245364</v>
      </c>
      <c r="W37">
        <f t="shared" si="7"/>
        <v>82801.89856702468</v>
      </c>
      <c r="X37">
        <f t="shared" si="8"/>
        <v>96900.37565173609</v>
      </c>
      <c r="Y37">
        <f t="shared" si="9"/>
        <v>31343.863864759296</v>
      </c>
      <c r="Z37">
        <f t="shared" si="10"/>
        <v>22284.047064137358</v>
      </c>
      <c r="AA37">
        <f t="shared" si="11"/>
        <v>58210.03289169585</v>
      </c>
      <c r="AB37">
        <f t="shared" si="12"/>
        <v>66852.14119241208</v>
      </c>
    </row>
    <row r="38" spans="2:28" ht="12.75">
      <c r="B38">
        <v>33</v>
      </c>
      <c r="E38">
        <f>'Starting population'!B37-C38</f>
        <v>208533.18611379503</v>
      </c>
      <c r="F38">
        <f>'Starting population'!C37-D38</f>
        <v>209137.23184340133</v>
      </c>
      <c r="G38">
        <f>(1-G37)*Marriage!B$26+G37*(1-Divorce!B$26)</f>
        <v>0.6208865445248068</v>
      </c>
      <c r="H38">
        <f>(1-H37)*Marriage!C$26+H37*(1-Divorce!C$26)</f>
        <v>0.6095592724409854</v>
      </c>
      <c r="I38">
        <f>'Starting population'!B37*G38</f>
        <v>129475.44934494264</v>
      </c>
      <c r="J38">
        <f>'Starting population'!C37*H38</f>
        <v>127481.5388827854</v>
      </c>
      <c r="K38">
        <f t="shared" si="1"/>
        <v>79057.7367688524</v>
      </c>
      <c r="L38">
        <f t="shared" si="2"/>
        <v>81655.69296061592</v>
      </c>
      <c r="Q38">
        <f>H$5*'Starting population'!B37-M38</f>
        <v>72986.61513982825</v>
      </c>
      <c r="R38">
        <f>I$5*'Starting population'!C37-N38</f>
        <v>52284.30796085033</v>
      </c>
      <c r="S38">
        <f>(1-H$5)*'Starting population'!B37-O38</f>
        <v>135546.57097396677</v>
      </c>
      <c r="T38">
        <f>(1-I$5)*'Starting population'!C37-P38</f>
        <v>156852.923882551</v>
      </c>
      <c r="U38">
        <f t="shared" si="5"/>
        <v>45316.40727072992</v>
      </c>
      <c r="V38">
        <f t="shared" si="6"/>
        <v>31870.38472069635</v>
      </c>
      <c r="W38">
        <f t="shared" si="7"/>
        <v>84159.04207421272</v>
      </c>
      <c r="X38">
        <f t="shared" si="8"/>
        <v>95611.15416208905</v>
      </c>
      <c r="Y38">
        <f t="shared" si="9"/>
        <v>27670.207869098333</v>
      </c>
      <c r="Z38">
        <f t="shared" si="10"/>
        <v>20413.92324015398</v>
      </c>
      <c r="AA38">
        <f t="shared" si="11"/>
        <v>51387.52889975405</v>
      </c>
      <c r="AB38">
        <f t="shared" si="12"/>
        <v>61241.76972046195</v>
      </c>
    </row>
    <row r="39" spans="2:28" ht="12.75">
      <c r="B39">
        <v>34</v>
      </c>
      <c r="E39">
        <f>'Starting population'!B38-C39</f>
        <v>200536.42917794076</v>
      </c>
      <c r="F39">
        <f>'Starting population'!C38-D39</f>
        <v>200309.892449842</v>
      </c>
      <c r="G39">
        <f>(1-G38)*Marriage!B$26+G38*(1-Divorce!B$26)</f>
        <v>0.6496234180556962</v>
      </c>
      <c r="H39">
        <f>(1-H38)*Marriage!C$26+H38*(1-Divorce!C$26)</f>
        <v>0.6252570658384069</v>
      </c>
      <c r="I39">
        <f>'Starting population'!B38*G39</f>
        <v>130273.16056725793</v>
      </c>
      <c r="J39">
        <f>'Starting population'!C38*H39</f>
        <v>125245.17561159507</v>
      </c>
      <c r="K39">
        <f t="shared" si="1"/>
        <v>70263.26861068283</v>
      </c>
      <c r="L39">
        <f t="shared" si="2"/>
        <v>75064.71683824694</v>
      </c>
      <c r="Q39">
        <f>H$5*'Starting population'!B38-M39</f>
        <v>70187.75021227926</v>
      </c>
      <c r="R39">
        <f>I$5*'Starting population'!C38-N39</f>
        <v>50077.4731124605</v>
      </c>
      <c r="S39">
        <f>(1-H$5)*'Starting population'!B38-O39</f>
        <v>130348.6789656615</v>
      </c>
      <c r="T39">
        <f>(1-I$5)*'Starting population'!C38-P39</f>
        <v>150232.4193373815</v>
      </c>
      <c r="U39">
        <f t="shared" si="5"/>
        <v>45595.60619854027</v>
      </c>
      <c r="V39">
        <f t="shared" si="6"/>
        <v>31311.293902898768</v>
      </c>
      <c r="W39">
        <f t="shared" si="7"/>
        <v>84677.55436871765</v>
      </c>
      <c r="X39">
        <f t="shared" si="8"/>
        <v>93933.88170869631</v>
      </c>
      <c r="Y39">
        <f t="shared" si="9"/>
        <v>24592.144013738995</v>
      </c>
      <c r="Z39">
        <f t="shared" si="10"/>
        <v>18766.179209561735</v>
      </c>
      <c r="AA39">
        <f t="shared" si="11"/>
        <v>45671.124596943846</v>
      </c>
      <c r="AB39">
        <f t="shared" si="12"/>
        <v>56298.53762868518</v>
      </c>
    </row>
    <row r="40" spans="2:28" ht="12.75">
      <c r="B40">
        <v>35</v>
      </c>
      <c r="E40">
        <f>'Starting population'!B39-C40</f>
        <v>192394.13387266966</v>
      </c>
      <c r="F40">
        <f>'Starting population'!C39-D40</f>
        <v>191645.55152390874</v>
      </c>
      <c r="G40">
        <f>(1-G39)*Marriage!B$26+G39*(1-Divorce!B$26)</f>
        <v>0.6741363042148129</v>
      </c>
      <c r="H40">
        <f>(1-H39)*Marriage!C$26+H39*(1-Divorce!C$26)</f>
        <v>0.6390928826361124</v>
      </c>
      <c r="I40">
        <f>'Starting population'!B39*G40</f>
        <v>129699.87036153146</v>
      </c>
      <c r="J40">
        <f>'Starting population'!C39*H40</f>
        <v>122479.30796780244</v>
      </c>
      <c r="K40">
        <f t="shared" si="1"/>
        <v>62694.2635111382</v>
      </c>
      <c r="L40">
        <f t="shared" si="2"/>
        <v>69166.2435561063</v>
      </c>
      <c r="Q40">
        <f>H$5*'Starting population'!B39-M40</f>
        <v>67337.94685543438</v>
      </c>
      <c r="R40">
        <f>I$5*'Starting population'!C39-N40</f>
        <v>47911.387880977185</v>
      </c>
      <c r="S40">
        <f>(1-H$5)*'Starting population'!B39-O40</f>
        <v>125056.18701723528</v>
      </c>
      <c r="T40">
        <f>(1-I$5)*'Starting population'!C39-P40</f>
        <v>143734.16364293155</v>
      </c>
      <c r="U40">
        <f t="shared" si="5"/>
        <v>45394.95462653601</v>
      </c>
      <c r="V40">
        <f t="shared" si="6"/>
        <v>30619.82699195061</v>
      </c>
      <c r="W40">
        <f t="shared" si="7"/>
        <v>84304.91573499545</v>
      </c>
      <c r="X40">
        <f t="shared" si="8"/>
        <v>91859.48097585182</v>
      </c>
      <c r="Y40">
        <f t="shared" si="9"/>
        <v>21942.992228898365</v>
      </c>
      <c r="Z40">
        <f t="shared" si="10"/>
        <v>17291.560889026576</v>
      </c>
      <c r="AA40">
        <f t="shared" si="11"/>
        <v>40751.27128223983</v>
      </c>
      <c r="AB40">
        <f t="shared" si="12"/>
        <v>51874.68266707973</v>
      </c>
    </row>
    <row r="41" spans="2:28" ht="12.75">
      <c r="B41">
        <v>36</v>
      </c>
      <c r="E41">
        <f>'Starting population'!B40-C41</f>
        <v>183719.80264090095</v>
      </c>
      <c r="F41">
        <f>'Starting population'!C40-D41</f>
        <v>182775.7064526112</v>
      </c>
      <c r="G41">
        <f>(1-G40)*Marriage!B$27+G40*(1-Divorce!B$27)</f>
        <v>0.6942497106419603</v>
      </c>
      <c r="H41">
        <f>(1-H40)*Marriage!C$27+H40*(1-Divorce!C$27)</f>
        <v>0.6481286350833282</v>
      </c>
      <c r="I41">
        <f>'Starting population'!B40*G41</f>
        <v>127547.41982264354</v>
      </c>
      <c r="J41">
        <f>'Starting population'!C40*H41</f>
        <v>118462.16914952196</v>
      </c>
      <c r="K41">
        <f t="shared" si="1"/>
        <v>56172.38281825741</v>
      </c>
      <c r="L41">
        <f t="shared" si="2"/>
        <v>64313.53730308924</v>
      </c>
      <c r="Q41">
        <f>H$5*'Starting population'!B40-M41</f>
        <v>64301.930924315326</v>
      </c>
      <c r="R41">
        <f>I$5*'Starting population'!C40-N41</f>
        <v>45693.9266131528</v>
      </c>
      <c r="S41">
        <f>(1-H$5)*'Starting population'!B40-O41</f>
        <v>119417.87171658562</v>
      </c>
      <c r="T41">
        <f>(1-I$5)*'Starting population'!C40-P41</f>
        <v>137081.7798394584</v>
      </c>
      <c r="U41">
        <f t="shared" si="5"/>
        <v>44641.596937925235</v>
      </c>
      <c r="V41">
        <f t="shared" si="6"/>
        <v>29615.54228738049</v>
      </c>
      <c r="W41">
        <f t="shared" si="7"/>
        <v>82905.8228847183</v>
      </c>
      <c r="X41">
        <f t="shared" si="8"/>
        <v>88846.62686214146</v>
      </c>
      <c r="Y41">
        <f t="shared" si="9"/>
        <v>19660.33398639009</v>
      </c>
      <c r="Z41">
        <f t="shared" si="10"/>
        <v>16078.38432577231</v>
      </c>
      <c r="AA41">
        <f t="shared" si="11"/>
        <v>36512.048831867316</v>
      </c>
      <c r="AB41">
        <f t="shared" si="12"/>
        <v>48235.152977316946</v>
      </c>
    </row>
    <row r="42" spans="2:28" ht="12.75">
      <c r="B42">
        <v>37</v>
      </c>
      <c r="E42">
        <f>'Starting population'!B41-C42</f>
        <v>174272.42694137507</v>
      </c>
      <c r="F42">
        <f>'Starting population'!C41-D42</f>
        <v>173597.86061363498</v>
      </c>
      <c r="G42">
        <f>(1-G41)*Marriage!B$27+G41*(1-Divorce!B$27)</f>
        <v>0.7116216056118818</v>
      </c>
      <c r="H42">
        <f>(1-H41)*Marriage!C$27+H41*(1-Divorce!C$27)</f>
        <v>0.6562317584441499</v>
      </c>
      <c r="I42">
        <f>'Starting population'!B41*G42</f>
        <v>124016.0242739007</v>
      </c>
      <c r="J42">
        <f>'Starting population'!C41*H42</f>
        <v>113920.42933262812</v>
      </c>
      <c r="K42">
        <f t="shared" si="1"/>
        <v>50256.40266747438</v>
      </c>
      <c r="L42">
        <f t="shared" si="2"/>
        <v>59677.431281006866</v>
      </c>
      <c r="Q42">
        <f>H$5*'Starting population'!B41-M42</f>
        <v>60995.34942948127</v>
      </c>
      <c r="R42">
        <f>I$5*'Starting population'!C41-N42</f>
        <v>43399.465153408746</v>
      </c>
      <c r="S42">
        <f>(1-H$5)*'Starting population'!B41-O42</f>
        <v>113277.0775118938</v>
      </c>
      <c r="T42">
        <f>(1-I$5)*'Starting population'!C41-P42</f>
        <v>130198.39546022624</v>
      </c>
      <c r="U42">
        <f t="shared" si="5"/>
        <v>43405.60849586524</v>
      </c>
      <c r="V42">
        <f t="shared" si="6"/>
        <v>28480.10733315703</v>
      </c>
      <c r="W42">
        <f t="shared" si="7"/>
        <v>80610.41577803546</v>
      </c>
      <c r="X42">
        <f t="shared" si="8"/>
        <v>85440.32199947108</v>
      </c>
      <c r="Y42">
        <f t="shared" si="9"/>
        <v>17589.740933616027</v>
      </c>
      <c r="Z42">
        <f t="shared" si="10"/>
        <v>14919.357820251716</v>
      </c>
      <c r="AA42">
        <f t="shared" si="11"/>
        <v>32666.661733858346</v>
      </c>
      <c r="AB42">
        <f t="shared" si="12"/>
        <v>44758.07346075516</v>
      </c>
    </row>
    <row r="43" spans="2:28" ht="12.75">
      <c r="B43">
        <v>38</v>
      </c>
      <c r="E43">
        <f>'Starting population'!B42-C43</f>
        <v>164509.55310473876</v>
      </c>
      <c r="F43">
        <f>'Starting population'!C42-D43</f>
        <v>164498.27294788646</v>
      </c>
      <c r="G43">
        <f>(1-G42)*Marriage!B$27+G42*(1-Divorce!B$27)</f>
        <v>0.7266256645185154</v>
      </c>
      <c r="H43">
        <f>(1-H42)*Marriage!C$27+H42*(1-Divorce!C$27)</f>
        <v>0.6634985144320177</v>
      </c>
      <c r="I43">
        <f>'Starting population'!B42*G43</f>
        <v>119536.8633443748</v>
      </c>
      <c r="J43">
        <f>'Starting population'!C42*H43</f>
        <v>109144.35972755523</v>
      </c>
      <c r="K43">
        <f t="shared" si="1"/>
        <v>44972.689760363966</v>
      </c>
      <c r="L43">
        <f t="shared" si="2"/>
        <v>55353.91322033123</v>
      </c>
      <c r="Q43">
        <f>H$5*'Starting population'!B42-M43</f>
        <v>57578.343586658564</v>
      </c>
      <c r="R43">
        <f>I$5*'Starting population'!C42-N43</f>
        <v>41124.568236971616</v>
      </c>
      <c r="S43">
        <f>(1-H$5)*'Starting population'!B42-O43</f>
        <v>106931.2095180802</v>
      </c>
      <c r="T43">
        <f>(1-I$5)*'Starting population'!C42-P43</f>
        <v>123373.70471091484</v>
      </c>
      <c r="U43">
        <f t="shared" si="5"/>
        <v>41837.902170531175</v>
      </c>
      <c r="V43">
        <f t="shared" si="6"/>
        <v>27286.089931888808</v>
      </c>
      <c r="W43">
        <f t="shared" si="7"/>
        <v>77698.96117384362</v>
      </c>
      <c r="X43">
        <f t="shared" si="8"/>
        <v>81858.26979566642</v>
      </c>
      <c r="Y43">
        <f t="shared" si="9"/>
        <v>15740.441416127389</v>
      </c>
      <c r="Z43">
        <f t="shared" si="10"/>
        <v>13838.478305082808</v>
      </c>
      <c r="AA43">
        <f t="shared" si="11"/>
        <v>29232.248344236577</v>
      </c>
      <c r="AB43">
        <f t="shared" si="12"/>
        <v>41515.43491524842</v>
      </c>
    </row>
    <row r="44" spans="2:28" ht="12.75">
      <c r="B44">
        <v>39</v>
      </c>
      <c r="E44">
        <f>'Starting population'!B43-C44</f>
        <v>154553.30898535938</v>
      </c>
      <c r="F44">
        <f>'Starting population'!C43-D44</f>
        <v>155189.8269090819</v>
      </c>
      <c r="G44">
        <f>(1-G43)*Marriage!B$27+G43*(1-Divorce!B$27)</f>
        <v>0.7395846297933756</v>
      </c>
      <c r="H44">
        <f>(1-H43)*Marriage!C$27+H43*(1-Divorce!C$27)</f>
        <v>0.6700152290660963</v>
      </c>
      <c r="I44">
        <f>'Starting population'!B43*G44</f>
        <v>114305.25180927821</v>
      </c>
      <c r="J44">
        <f>'Starting population'!C43*H44</f>
        <v>103979.54742521634</v>
      </c>
      <c r="K44">
        <f t="shared" si="1"/>
        <v>40248.05717608117</v>
      </c>
      <c r="L44">
        <f t="shared" si="2"/>
        <v>51210.27948386555</v>
      </c>
      <c r="Q44">
        <f>H$5*'Starting population'!B43-M44</f>
        <v>54093.65814487578</v>
      </c>
      <c r="R44">
        <f>I$5*'Starting population'!C43-N44</f>
        <v>38797.45672727047</v>
      </c>
      <c r="S44">
        <f>(1-H$5)*'Starting population'!B43-O44</f>
        <v>100459.6508404836</v>
      </c>
      <c r="T44">
        <f>(1-I$5)*'Starting population'!C43-P44</f>
        <v>116392.37018181142</v>
      </c>
      <c r="U44">
        <f t="shared" si="5"/>
        <v>40006.83813324737</v>
      </c>
      <c r="V44">
        <f t="shared" si="6"/>
        <v>25994.886856304085</v>
      </c>
      <c r="W44">
        <f t="shared" si="7"/>
        <v>74298.41367603085</v>
      </c>
      <c r="X44">
        <f t="shared" si="8"/>
        <v>77984.66056891225</v>
      </c>
      <c r="Y44">
        <f t="shared" si="9"/>
        <v>14086.820011628406</v>
      </c>
      <c r="Z44">
        <f t="shared" si="10"/>
        <v>12802.569870966388</v>
      </c>
      <c r="AA44">
        <f t="shared" si="11"/>
        <v>26161.23716445276</v>
      </c>
      <c r="AB44">
        <f t="shared" si="12"/>
        <v>38407.70961289917</v>
      </c>
    </row>
    <row r="45" spans="2:28" ht="12.75">
      <c r="B45">
        <v>40</v>
      </c>
      <c r="E45">
        <f>'Starting population'!B44-C45</f>
        <v>145508.78206445067</v>
      </c>
      <c r="F45">
        <f>'Starting population'!C44-D45</f>
        <v>146851.60462805856</v>
      </c>
      <c r="G45">
        <f>(1-G44)*Marriage!B$27+G44*(1-Divorce!B$27)</f>
        <v>0.7507772532054834</v>
      </c>
      <c r="H45">
        <f>(1-H44)*Marriage!C$27+H44*(1-Divorce!C$27)</f>
        <v>0.6758593181882462</v>
      </c>
      <c r="I45">
        <f>'Starting population'!B44*G45</f>
        <v>109244.68371562359</v>
      </c>
      <c r="J45">
        <f>'Starting population'!C44*H45</f>
        <v>99251.02537876955</v>
      </c>
      <c r="K45">
        <f t="shared" si="1"/>
        <v>36264.09834882709</v>
      </c>
      <c r="L45">
        <f t="shared" si="2"/>
        <v>47600.579249289</v>
      </c>
      <c r="Q45">
        <f>H$5*'Starting population'!B44-M45</f>
        <v>50928.07372255773</v>
      </c>
      <c r="R45">
        <f>I$5*'Starting population'!C44-N45</f>
        <v>36712.90115701464</v>
      </c>
      <c r="S45">
        <f>(1-H$5)*'Starting population'!B44-O45</f>
        <v>94580.70834189294</v>
      </c>
      <c r="T45">
        <f>(1-I$5)*'Starting population'!C44-P45</f>
        <v>110138.70347104392</v>
      </c>
      <c r="U45">
        <f t="shared" si="5"/>
        <v>38235.639300468254</v>
      </c>
      <c r="V45">
        <f t="shared" si="6"/>
        <v>24812.75634469239</v>
      </c>
      <c r="W45">
        <f t="shared" si="7"/>
        <v>71009.04441515534</v>
      </c>
      <c r="X45">
        <f t="shared" si="8"/>
        <v>74438.26903407717</v>
      </c>
      <c r="Y45">
        <f t="shared" si="9"/>
        <v>12692.434422089478</v>
      </c>
      <c r="Z45">
        <f t="shared" si="10"/>
        <v>11900.14481232225</v>
      </c>
      <c r="AA45">
        <f t="shared" si="11"/>
        <v>23571.6639267376</v>
      </c>
      <c r="AB45">
        <f t="shared" si="12"/>
        <v>35700.43443696675</v>
      </c>
    </row>
    <row r="46" spans="2:28" ht="12.75">
      <c r="B46">
        <v>41</v>
      </c>
      <c r="E46">
        <f>'Starting population'!B45-C46</f>
        <v>138633.8052565151</v>
      </c>
      <c r="F46">
        <f>'Starting population'!C45-D46</f>
        <v>141247.90907172626</v>
      </c>
      <c r="G46">
        <f>(1-G45)*Marriage!B$28+G45*(1-Divorce!B$28)</f>
        <v>0.7593376409753829</v>
      </c>
      <c r="H46">
        <f>(1-H45)*Marriage!C$28+H45*(1-Divorce!C$28)</f>
        <v>0.6761700486733455</v>
      </c>
      <c r="I46">
        <f>'Starting population'!B45*G46</f>
        <v>105269.86664292282</v>
      </c>
      <c r="J46">
        <f>'Starting population'!C45*H46</f>
        <v>95507.60555203742</v>
      </c>
      <c r="K46">
        <f t="shared" si="1"/>
        <v>33363.93861359228</v>
      </c>
      <c r="L46">
        <f t="shared" si="2"/>
        <v>45740.30351968884</v>
      </c>
      <c r="Q46">
        <f>H$5*'Starting population'!B45-M46</f>
        <v>48521.83183978028</v>
      </c>
      <c r="R46">
        <f>I$5*'Starting population'!C45-N46</f>
        <v>35311.977267931565</v>
      </c>
      <c r="S46">
        <f>(1-H$5)*'Starting population'!B45-O46</f>
        <v>90111.97341673482</v>
      </c>
      <c r="T46">
        <f>(1-I$5)*'Starting population'!C45-P46</f>
        <v>105935.9318037947</v>
      </c>
      <c r="U46">
        <f t="shared" si="5"/>
        <v>36844.45332502299</v>
      </c>
      <c r="V46">
        <f t="shared" si="6"/>
        <v>23876.901388009355</v>
      </c>
      <c r="W46">
        <f t="shared" si="7"/>
        <v>68425.41331789983</v>
      </c>
      <c r="X46">
        <f t="shared" si="8"/>
        <v>71630.70416402807</v>
      </c>
      <c r="Y46">
        <f t="shared" si="9"/>
        <v>11677.378514757293</v>
      </c>
      <c r="Z46">
        <f t="shared" si="10"/>
        <v>11435.07587992221</v>
      </c>
      <c r="AA46">
        <f t="shared" si="11"/>
        <v>21686.56009883499</v>
      </c>
      <c r="AB46">
        <f t="shared" si="12"/>
        <v>34305.22763976663</v>
      </c>
    </row>
    <row r="47" spans="2:28" ht="12.75">
      <c r="B47">
        <v>42</v>
      </c>
      <c r="E47">
        <f>'Starting population'!B46-C47</f>
        <v>134658.68710061995</v>
      </c>
      <c r="F47">
        <f>'Starting population'!C46-D47</f>
        <v>139277.5793440849</v>
      </c>
      <c r="G47">
        <f>(1-G46)*Marriage!B$28+G46*(1-Divorce!B$28)</f>
        <v>0.7668554311773929</v>
      </c>
      <c r="H47">
        <f>(1-H46)*Marriage!C$28+H46*(1-Divorce!C$28)</f>
        <v>0.6764528768929152</v>
      </c>
      <c r="I47">
        <f>'Starting population'!B46*G47</f>
        <v>103263.74555832754</v>
      </c>
      <c r="J47">
        <f>'Starting population'!C46*H47</f>
        <v>94214.71923398749</v>
      </c>
      <c r="K47">
        <f t="shared" si="1"/>
        <v>31394.941542292407</v>
      </c>
      <c r="L47">
        <f t="shared" si="2"/>
        <v>45062.860110097405</v>
      </c>
      <c r="Q47">
        <f>H$5*'Starting population'!B46-M47</f>
        <v>47130.54048521698</v>
      </c>
      <c r="R47">
        <f>I$5*'Starting population'!C46-N47</f>
        <v>34819.39483602122</v>
      </c>
      <c r="S47">
        <f>(1-H$5)*'Starting population'!B46-O47</f>
        <v>87528.14661540298</v>
      </c>
      <c r="T47">
        <f>(1-I$5)*'Starting population'!C46-P47</f>
        <v>104458.18450806367</v>
      </c>
      <c r="U47">
        <f t="shared" si="5"/>
        <v>36142.31094541464</v>
      </c>
      <c r="V47">
        <f t="shared" si="6"/>
        <v>23553.679808496872</v>
      </c>
      <c r="W47">
        <f t="shared" si="7"/>
        <v>67121.43461291291</v>
      </c>
      <c r="X47">
        <f t="shared" si="8"/>
        <v>70661.03942549061</v>
      </c>
      <c r="Y47">
        <f t="shared" si="9"/>
        <v>10988.229539802342</v>
      </c>
      <c r="Z47">
        <f t="shared" si="10"/>
        <v>11265.715027524351</v>
      </c>
      <c r="AA47">
        <f t="shared" si="11"/>
        <v>20406.712002490065</v>
      </c>
      <c r="AB47">
        <f t="shared" si="12"/>
        <v>33797.14508257306</v>
      </c>
    </row>
    <row r="48" spans="2:28" ht="12.75">
      <c r="B48">
        <v>43</v>
      </c>
      <c r="E48">
        <f>'Starting population'!B47-C48</f>
        <v>132818.29688200814</v>
      </c>
      <c r="F48">
        <f>'Starting population'!C47-D48</f>
        <v>139968.9027055929</v>
      </c>
      <c r="G48">
        <f>(1-G47)*Marriage!B$28+G47*(1-Divorce!B$28)</f>
        <v>0.7734576051723799</v>
      </c>
      <c r="H48">
        <f>(1-H47)*Marriage!C$28+H47*(1-Divorce!C$28)</f>
        <v>0.6767103083507893</v>
      </c>
      <c r="I48">
        <f>'Starting population'!B47*G48</f>
        <v>102729.3218294322</v>
      </c>
      <c r="J48">
        <f>'Starting population'!C47*H48</f>
        <v>94718.39930942339</v>
      </c>
      <c r="K48">
        <f t="shared" si="1"/>
        <v>30088.975052575945</v>
      </c>
      <c r="L48">
        <f t="shared" si="2"/>
        <v>45250.5033961695</v>
      </c>
      <c r="Q48">
        <f>H$5*'Starting population'!B47-M48</f>
        <v>46486.40390870285</v>
      </c>
      <c r="R48">
        <f>I$5*'Starting population'!C47-N48</f>
        <v>34992.22567639822</v>
      </c>
      <c r="S48">
        <f>(1-H$5)*'Starting population'!B47-O48</f>
        <v>86331.8929733053</v>
      </c>
      <c r="T48">
        <f>(1-I$5)*'Starting population'!C47-P48</f>
        <v>104976.67702919466</v>
      </c>
      <c r="U48">
        <f t="shared" si="5"/>
        <v>35955.26264030127</v>
      </c>
      <c r="V48">
        <f t="shared" si="6"/>
        <v>23679.599827355847</v>
      </c>
      <c r="W48">
        <f t="shared" si="7"/>
        <v>66774.05918913093</v>
      </c>
      <c r="X48">
        <f t="shared" si="8"/>
        <v>71038.79948206754</v>
      </c>
      <c r="Y48">
        <f t="shared" si="9"/>
        <v>10531.141268401581</v>
      </c>
      <c r="Z48">
        <f t="shared" si="10"/>
        <v>11312.625849042375</v>
      </c>
      <c r="AA48">
        <f t="shared" si="11"/>
        <v>19557.833784174363</v>
      </c>
      <c r="AB48">
        <f t="shared" si="12"/>
        <v>33937.87754712712</v>
      </c>
    </row>
    <row r="49" spans="2:28" ht="12.75">
      <c r="B49">
        <v>44</v>
      </c>
      <c r="E49">
        <f>'Starting population'!B48-C49</f>
        <v>132130.18995575234</v>
      </c>
      <c r="F49">
        <f>'Starting population'!C48-D49</f>
        <v>141955.439869592</v>
      </c>
      <c r="G49">
        <f>(1-G48)*Marriage!B$28+G48*(1-Divorce!B$28)</f>
        <v>0.7792556788467996</v>
      </c>
      <c r="H49">
        <f>(1-H48)*Marriage!C$28+H48*(1-Divorce!C$28)</f>
        <v>0.6769446235672976</v>
      </c>
      <c r="I49">
        <f>'Starting population'!B48*G49</f>
        <v>102963.20087012637</v>
      </c>
      <c r="J49">
        <f>'Starting population'!C48*H49</f>
        <v>96095.97180585109</v>
      </c>
      <c r="K49">
        <f t="shared" si="1"/>
        <v>29166.989085625974</v>
      </c>
      <c r="L49">
        <f t="shared" si="2"/>
        <v>45859.468063740904</v>
      </c>
      <c r="Q49">
        <f>H$5*'Starting population'!B48-M49</f>
        <v>46245.566484513314</v>
      </c>
      <c r="R49">
        <f>I$5*'Starting population'!C48-N49</f>
        <v>35488.859967398</v>
      </c>
      <c r="S49">
        <f>(1-H$5)*'Starting population'!B48-O49</f>
        <v>85884.62347123903</v>
      </c>
      <c r="T49">
        <f>(1-I$5)*'Starting population'!C48-P49</f>
        <v>106466.579902194</v>
      </c>
      <c r="U49">
        <f t="shared" si="5"/>
        <v>36037.12030454422</v>
      </c>
      <c r="V49">
        <f t="shared" si="6"/>
        <v>24023.992951462773</v>
      </c>
      <c r="W49">
        <f t="shared" si="7"/>
        <v>66926.08056558215</v>
      </c>
      <c r="X49">
        <f t="shared" si="8"/>
        <v>72071.97885438832</v>
      </c>
      <c r="Y49">
        <f t="shared" si="9"/>
        <v>10208.44617996909</v>
      </c>
      <c r="Z49">
        <f t="shared" si="10"/>
        <v>11464.867015935226</v>
      </c>
      <c r="AA49">
        <f t="shared" si="11"/>
        <v>18958.542905656883</v>
      </c>
      <c r="AB49">
        <f t="shared" si="12"/>
        <v>34394.601047805685</v>
      </c>
    </row>
    <row r="50" spans="2:28" ht="12.75">
      <c r="B50">
        <v>45</v>
      </c>
      <c r="E50">
        <f>'Starting population'!B49-C50</f>
        <v>131214.24913581906</v>
      </c>
      <c r="F50">
        <f>'Starting population'!C49-D50</f>
        <v>143219.50735279746</v>
      </c>
      <c r="G50">
        <f>(1-G49)*Marriage!B$28+G49*(1-Divorce!B$28)</f>
        <v>0.7843475862033041</v>
      </c>
      <c r="H50">
        <f>(1-H49)*Marriage!C$28+H49*(1-Divorce!C$28)</f>
        <v>0.6771578982818205</v>
      </c>
      <c r="I50">
        <f>'Starting population'!B49*G50</f>
        <v>102917.57958515866</v>
      </c>
      <c r="J50">
        <f>'Starting population'!C49*H50</f>
        <v>96982.22059197807</v>
      </c>
      <c r="K50">
        <f t="shared" si="1"/>
        <v>28296.6695506604</v>
      </c>
      <c r="L50">
        <f t="shared" si="2"/>
        <v>46237.28676081939</v>
      </c>
      <c r="Q50">
        <f>H$5*'Starting population'!B49-M50</f>
        <v>45924.98719753667</v>
      </c>
      <c r="R50">
        <f>I$5*'Starting population'!C49-N50</f>
        <v>35804.876838199365</v>
      </c>
      <c r="S50">
        <f>(1-H$5)*'Starting population'!B49-O50</f>
        <v>85289.26193828239</v>
      </c>
      <c r="T50">
        <f>(1-I$5)*'Starting population'!C49-P50</f>
        <v>107414.6305145981</v>
      </c>
      <c r="U50">
        <f t="shared" si="5"/>
        <v>36021.15285480553</v>
      </c>
      <c r="V50">
        <f t="shared" si="6"/>
        <v>24245.555147994517</v>
      </c>
      <c r="W50">
        <f t="shared" si="7"/>
        <v>66896.42673035314</v>
      </c>
      <c r="X50">
        <f t="shared" si="8"/>
        <v>72736.66544398355</v>
      </c>
      <c r="Y50">
        <f t="shared" si="9"/>
        <v>9903.834342731141</v>
      </c>
      <c r="Z50">
        <f t="shared" si="10"/>
        <v>11559.321690204848</v>
      </c>
      <c r="AA50">
        <f t="shared" si="11"/>
        <v>18392.835207929253</v>
      </c>
      <c r="AB50">
        <f t="shared" si="12"/>
        <v>34677.96507061455</v>
      </c>
    </row>
    <row r="51" spans="2:28" ht="12.75">
      <c r="B51">
        <v>46</v>
      </c>
      <c r="E51">
        <f>'Starting population'!B50-C51</f>
        <v>129051.12256401955</v>
      </c>
      <c r="F51">
        <f>'Starting population'!C50-D51</f>
        <v>142873.13896611438</v>
      </c>
      <c r="G51">
        <f>(1-G50)*Marriage!B$29+G50*(1-Divorce!B$29)</f>
        <v>0.7880471752101161</v>
      </c>
      <c r="H51">
        <f>(1-H50)*Marriage!C$29+H50*(1-Divorce!C$29)</f>
        <v>0.6734538127808035</v>
      </c>
      <c r="I51">
        <f>'Starting population'!B50*G51</f>
        <v>101698.37259427008</v>
      </c>
      <c r="J51">
        <f>'Starting population'!C50*H51</f>
        <v>96218.46018069131</v>
      </c>
      <c r="K51">
        <f t="shared" si="1"/>
        <v>27352.749969749464</v>
      </c>
      <c r="L51">
        <f t="shared" si="2"/>
        <v>46654.678785423064</v>
      </c>
      <c r="Q51">
        <f>H$5*'Starting population'!B50-M51</f>
        <v>45167.89289740684</v>
      </c>
      <c r="R51">
        <f>I$5*'Starting population'!C50-N51</f>
        <v>35718.284741528594</v>
      </c>
      <c r="S51">
        <f>(1-H$5)*'Starting population'!B50-O51</f>
        <v>83883.22966661271</v>
      </c>
      <c r="T51">
        <f>(1-I$5)*'Starting population'!C50-P51</f>
        <v>107154.85422458578</v>
      </c>
      <c r="U51">
        <f t="shared" si="5"/>
        <v>35594.43040799453</v>
      </c>
      <c r="V51">
        <f t="shared" si="6"/>
        <v>24054.615045172828</v>
      </c>
      <c r="W51">
        <f t="shared" si="7"/>
        <v>66103.94218627556</v>
      </c>
      <c r="X51">
        <f t="shared" si="8"/>
        <v>72163.84513551848</v>
      </c>
      <c r="Y51">
        <f t="shared" si="9"/>
        <v>9573.462489412312</v>
      </c>
      <c r="Z51">
        <f t="shared" si="10"/>
        <v>11663.669696355766</v>
      </c>
      <c r="AA51">
        <f t="shared" si="11"/>
        <v>17779.287480337152</v>
      </c>
      <c r="AB51">
        <f t="shared" si="12"/>
        <v>34991.0090890673</v>
      </c>
    </row>
    <row r="52" spans="2:28" ht="12.75">
      <c r="B52">
        <v>47</v>
      </c>
      <c r="E52">
        <f>'Starting population'!B51-C52</f>
        <v>124804.46862858169</v>
      </c>
      <c r="F52">
        <f>'Starting population'!C51-D52</f>
        <v>139759.93131995315</v>
      </c>
      <c r="G52">
        <f>(1-G51)*Marriage!B$29+G51*(1-Divorce!B$29)</f>
        <v>0.7913397048246257</v>
      </c>
      <c r="H52">
        <f>(1-H51)*Marriage!C$29+H51*(1-Divorce!C$29)</f>
        <v>0.6700434911492688</v>
      </c>
      <c r="I52">
        <f>'Starting population'!B51*G52</f>
        <v>98762.73136533609</v>
      </c>
      <c r="J52">
        <f>'Starting population'!C51*H52</f>
        <v>93645.23230440344</v>
      </c>
      <c r="K52">
        <f t="shared" si="1"/>
        <v>26041.737263245595</v>
      </c>
      <c r="L52">
        <f t="shared" si="2"/>
        <v>46114.699015549704</v>
      </c>
      <c r="Q52">
        <f>H$5*'Starting population'!B51-M52</f>
        <v>43681.564020003585</v>
      </c>
      <c r="R52">
        <f>I$5*'Starting population'!C51-N52</f>
        <v>34939.98282998829</v>
      </c>
      <c r="S52">
        <f>(1-H$5)*'Starting population'!B51-O52</f>
        <v>81122.9046085781</v>
      </c>
      <c r="T52">
        <f>(1-I$5)*'Starting population'!C51-P52</f>
        <v>104819.94848996485</v>
      </c>
      <c r="U52">
        <f t="shared" si="5"/>
        <v>34566.95597786763</v>
      </c>
      <c r="V52">
        <f t="shared" si="6"/>
        <v>23411.30807610086</v>
      </c>
      <c r="W52">
        <f t="shared" si="7"/>
        <v>64195.775387468464</v>
      </c>
      <c r="X52">
        <f t="shared" si="8"/>
        <v>70233.92422830258</v>
      </c>
      <c r="Y52">
        <f t="shared" si="9"/>
        <v>9114.608042135958</v>
      </c>
      <c r="Z52">
        <f t="shared" si="10"/>
        <v>11528.674753887426</v>
      </c>
      <c r="AA52">
        <f t="shared" si="11"/>
        <v>16927.129221109637</v>
      </c>
      <c r="AB52">
        <f t="shared" si="12"/>
        <v>34586.02426166227</v>
      </c>
    </row>
    <row r="53" spans="2:28" ht="12.75">
      <c r="B53">
        <v>48</v>
      </c>
      <c r="E53">
        <f>'Starting population'!B52-C53</f>
        <v>119025.83398650898</v>
      </c>
      <c r="F53">
        <f>'Starting population'!C52-D53</f>
        <v>134556.0842769944</v>
      </c>
      <c r="G53">
        <f>(1-G52)*Marriage!B$29+G52*(1-Divorce!B$29)</f>
        <v>0.7942699630891145</v>
      </c>
      <c r="H53">
        <f>(1-H52)*Marriage!C$29+H52*(1-Divorce!C$29)</f>
        <v>0.6669036355419073</v>
      </c>
      <c r="I53">
        <f>'Starting population'!B52*G53</f>
        <v>94538.64476711555</v>
      </c>
      <c r="J53">
        <f>'Starting population'!C52*H53</f>
        <v>89735.94178861084</v>
      </c>
      <c r="K53">
        <f t="shared" si="1"/>
        <v>24487.189219393433</v>
      </c>
      <c r="L53">
        <f t="shared" si="2"/>
        <v>44820.14248838356</v>
      </c>
      <c r="Q53">
        <f>H$5*'Starting population'!B52-M53</f>
        <v>41659.04189527814</v>
      </c>
      <c r="R53">
        <f>I$5*'Starting population'!C52-N53</f>
        <v>33639.0210692486</v>
      </c>
      <c r="S53">
        <f>(1-H$5)*'Starting population'!B52-O53</f>
        <v>77366.79209123083</v>
      </c>
      <c r="T53">
        <f>(1-I$5)*'Starting population'!C52-P53</f>
        <v>100917.0632077458</v>
      </c>
      <c r="U53">
        <f t="shared" si="5"/>
        <v>33088.52566849044</v>
      </c>
      <c r="V53">
        <f t="shared" si="6"/>
        <v>22433.98544715271</v>
      </c>
      <c r="W53">
        <f t="shared" si="7"/>
        <v>61450.11909862511</v>
      </c>
      <c r="X53">
        <f t="shared" si="8"/>
        <v>67301.95634145814</v>
      </c>
      <c r="Y53">
        <f t="shared" si="9"/>
        <v>8570.516226787702</v>
      </c>
      <c r="Z53">
        <f t="shared" si="10"/>
        <v>11205.03562209589</v>
      </c>
      <c r="AA53">
        <f t="shared" si="11"/>
        <v>15916.672992605723</v>
      </c>
      <c r="AB53">
        <f t="shared" si="12"/>
        <v>33615.106866287664</v>
      </c>
    </row>
    <row r="54" spans="2:28" ht="12.75">
      <c r="B54">
        <v>49</v>
      </c>
      <c r="E54">
        <f>'Starting population'!B53-C54</f>
        <v>112854.05900878798</v>
      </c>
      <c r="F54">
        <f>'Starting population'!C53-D54</f>
        <v>128732.14530670948</v>
      </c>
      <c r="G54">
        <f>(1-G53)*Marriage!B$29+G53*(1-Divorce!B$29)</f>
        <v>0.7968778100948836</v>
      </c>
      <c r="H54">
        <f>(1-H53)*Marriage!C$29+H53*(1-Divorce!C$29)</f>
        <v>0.6640127958205401</v>
      </c>
      <c r="I54">
        <f>'Starting population'!B53*G54</f>
        <v>89930.89540324174</v>
      </c>
      <c r="J54">
        <f>'Starting population'!C53*H54</f>
        <v>85479.79171708418</v>
      </c>
      <c r="K54">
        <f t="shared" si="1"/>
        <v>22923.163605546244</v>
      </c>
      <c r="L54">
        <f t="shared" si="2"/>
        <v>43252.3535896253</v>
      </c>
      <c r="Q54">
        <f>H$5*'Starting population'!B53-M54</f>
        <v>39498.920653075795</v>
      </c>
      <c r="R54">
        <f>I$5*'Starting population'!C53-N54</f>
        <v>32183.03632667737</v>
      </c>
      <c r="S54">
        <f>(1-H$5)*'Starting population'!B53-O54</f>
        <v>73355.13835571219</v>
      </c>
      <c r="T54">
        <f>(1-I$5)*'Starting population'!C53-P54</f>
        <v>96549.10898003212</v>
      </c>
      <c r="U54">
        <f t="shared" si="5"/>
        <v>31475.813391134605</v>
      </c>
      <c r="V54">
        <f t="shared" si="6"/>
        <v>21369.947929271046</v>
      </c>
      <c r="W54">
        <f t="shared" si="7"/>
        <v>58455.08201210713</v>
      </c>
      <c r="X54">
        <f t="shared" si="8"/>
        <v>64109.84378781314</v>
      </c>
      <c r="Y54">
        <f t="shared" si="9"/>
        <v>8023.10726194119</v>
      </c>
      <c r="Z54">
        <f t="shared" si="10"/>
        <v>10813.088397406325</v>
      </c>
      <c r="AA54">
        <f t="shared" si="11"/>
        <v>14900.056343605058</v>
      </c>
      <c r="AB54">
        <f t="shared" si="12"/>
        <v>32439.265192218983</v>
      </c>
    </row>
    <row r="55" spans="2:28" ht="12.75">
      <c r="B55">
        <v>50</v>
      </c>
      <c r="E55">
        <f>'Starting population'!B54-C55</f>
        <v>107646.33382696548</v>
      </c>
      <c r="F55">
        <f>'Starting population'!C54-D55</f>
        <v>123223.53148081547</v>
      </c>
      <c r="G55">
        <f>(1-G54)*Marriage!B$29+G54*(1-Divorce!B$29)</f>
        <v>0.7991987201961934</v>
      </c>
      <c r="H55">
        <f>(1-H54)*Marriage!C$29+H54*(1-Divorce!C$29)</f>
        <v>0.6613512230160322</v>
      </c>
      <c r="I55">
        <f>'Starting population'!B54*G55</f>
        <v>86030.81222832302</v>
      </c>
      <c r="J55">
        <f>'Starting population'!C54*H55</f>
        <v>81494.03324919185</v>
      </c>
      <c r="K55">
        <f t="shared" si="1"/>
        <v>21615.52159864246</v>
      </c>
      <c r="L55">
        <f t="shared" si="2"/>
        <v>41729.49823162361</v>
      </c>
      <c r="Q55">
        <f>H$5*'Starting population'!B54-M55</f>
        <v>37676.21683943791</v>
      </c>
      <c r="R55">
        <f>I$5*'Starting population'!C54-N55</f>
        <v>30805.882870203866</v>
      </c>
      <c r="S55">
        <f>(1-H$5)*'Starting population'!B54-O55</f>
        <v>69970.11698752757</v>
      </c>
      <c r="T55">
        <f>(1-I$5)*'Starting population'!C54-P55</f>
        <v>92417.64861061159</v>
      </c>
      <c r="U55">
        <f t="shared" si="5"/>
        <v>30110.784279913056</v>
      </c>
      <c r="V55">
        <f t="shared" si="6"/>
        <v>20373.508312297963</v>
      </c>
      <c r="W55">
        <f t="shared" si="7"/>
        <v>55920.02794840997</v>
      </c>
      <c r="X55">
        <f t="shared" si="8"/>
        <v>61120.52493689389</v>
      </c>
      <c r="Y55">
        <f t="shared" si="9"/>
        <v>7565.432559524856</v>
      </c>
      <c r="Z55">
        <f t="shared" si="10"/>
        <v>10432.374557905903</v>
      </c>
      <c r="AA55">
        <f t="shared" si="11"/>
        <v>14050.0890391176</v>
      </c>
      <c r="AB55">
        <f t="shared" si="12"/>
        <v>31297.123673717702</v>
      </c>
    </row>
    <row r="56" spans="2:28" ht="12.75">
      <c r="B56">
        <v>51</v>
      </c>
      <c r="E56">
        <f>'Starting population'!B55-C56</f>
        <v>103119.48586602358</v>
      </c>
      <c r="F56">
        <f>'Starting population'!C55-D56</f>
        <v>118661.00504329086</v>
      </c>
      <c r="G56">
        <f>(1-G55)*Marriage!B$30+G55*(1-Divorce!B$30)</f>
        <v>0.8007423014677175</v>
      </c>
      <c r="H56">
        <f>(1-H55)*Marriage!C$30+H55*(1-Divorce!C$30)</f>
        <v>0.6540790866083745</v>
      </c>
      <c r="I56">
        <f>'Starting population'!B55*G56</f>
        <v>82572.13443852749</v>
      </c>
      <c r="J56">
        <f>'Starting population'!C55*H56</f>
        <v>77613.68179474742</v>
      </c>
      <c r="K56">
        <f t="shared" si="1"/>
        <v>20547.35142749609</v>
      </c>
      <c r="L56">
        <f t="shared" si="2"/>
        <v>41047.32324854344</v>
      </c>
      <c r="Q56">
        <f>H$5*'Starting population'!B55-M56</f>
        <v>36091.82005310825</v>
      </c>
      <c r="R56">
        <f>I$5*'Starting population'!C55-N56</f>
        <v>29665.251260822715</v>
      </c>
      <c r="S56">
        <f>(1-H$5)*'Starting population'!B55-O56</f>
        <v>67027.66581291532</v>
      </c>
      <c r="T56">
        <f>(1-I$5)*'Starting population'!C55-P56</f>
        <v>88995.75378246815</v>
      </c>
      <c r="U56">
        <f t="shared" si="5"/>
        <v>28900.247053484618</v>
      </c>
      <c r="V56">
        <f t="shared" si="6"/>
        <v>19403.420448686855</v>
      </c>
      <c r="W56">
        <f t="shared" si="7"/>
        <v>53671.887385042864</v>
      </c>
      <c r="X56">
        <f t="shared" si="8"/>
        <v>58210.261346060564</v>
      </c>
      <c r="Y56">
        <f t="shared" si="9"/>
        <v>7191.57299962363</v>
      </c>
      <c r="Z56">
        <f t="shared" si="10"/>
        <v>10261.83081213586</v>
      </c>
      <c r="AA56">
        <f t="shared" si="11"/>
        <v>13355.778427872458</v>
      </c>
      <c r="AB56">
        <f t="shared" si="12"/>
        <v>30785.492436407585</v>
      </c>
    </row>
    <row r="57" spans="2:28" ht="12.75">
      <c r="B57">
        <v>52</v>
      </c>
      <c r="E57">
        <f>'Starting population'!B56-C57</f>
        <v>99743.06274471394</v>
      </c>
      <c r="F57">
        <f>'Starting population'!C56-D57</f>
        <v>115467.38997015069</v>
      </c>
      <c r="G57">
        <f>(1-G56)*Marriage!B$30+G56*(1-Divorce!B$30)</f>
        <v>0.802128556908735</v>
      </c>
      <c r="H57">
        <f>(1-H56)*Marriage!C$30+H56*(1-Divorce!C$30)</f>
        <v>0.6473267487771376</v>
      </c>
      <c r="I57">
        <f>'Starting population'!B56*G57</f>
        <v>80006.7589810748</v>
      </c>
      <c r="J57">
        <f>'Starting population'!C56*H57</f>
        <v>74745.1301391595</v>
      </c>
      <c r="K57">
        <f t="shared" si="1"/>
        <v>19736.30376363914</v>
      </c>
      <c r="L57">
        <f t="shared" si="2"/>
        <v>40722.259830991185</v>
      </c>
      <c r="Q57">
        <f>H$5*'Starting population'!B56-M57</f>
        <v>34910.071960649875</v>
      </c>
      <c r="R57">
        <f>I$5*'Starting population'!C56-N57</f>
        <v>28866.847492537672</v>
      </c>
      <c r="S57">
        <f>(1-H$5)*'Starting population'!B56-O57</f>
        <v>64832.990784064066</v>
      </c>
      <c r="T57">
        <f>(1-I$5)*'Starting population'!C56-P57</f>
        <v>86600.54247761302</v>
      </c>
      <c r="U57">
        <f t="shared" si="5"/>
        <v>28002.36564337618</v>
      </c>
      <c r="V57">
        <f t="shared" si="6"/>
        <v>18686.282534789876</v>
      </c>
      <c r="W57">
        <f t="shared" si="7"/>
        <v>52004.393337698624</v>
      </c>
      <c r="X57">
        <f t="shared" si="8"/>
        <v>56058.84760436963</v>
      </c>
      <c r="Y57">
        <f t="shared" si="9"/>
        <v>6907.706317273696</v>
      </c>
      <c r="Z57">
        <f t="shared" si="10"/>
        <v>10180.564957747796</v>
      </c>
      <c r="AA57">
        <f t="shared" si="11"/>
        <v>12828.597446365442</v>
      </c>
      <c r="AB57">
        <f t="shared" si="12"/>
        <v>30541.694873243396</v>
      </c>
    </row>
    <row r="58" spans="2:28" ht="12.75">
      <c r="B58">
        <v>53</v>
      </c>
      <c r="E58">
        <f>'Starting population'!B57-C58</f>
        <v>97242.3836880741</v>
      </c>
      <c r="F58">
        <f>'Starting population'!C57-D58</f>
        <v>113276.49476537957</v>
      </c>
      <c r="G58">
        <f>(1-G57)*Marriage!B$30+G57*(1-Divorce!B$30)</f>
        <v>0.8033735215783653</v>
      </c>
      <c r="H58">
        <f>(1-H57)*Marriage!C$30+H57*(1-Divorce!C$30)</f>
        <v>0.6410570553017592</v>
      </c>
      <c r="I58">
        <f>'Starting population'!B57*G58</f>
        <v>78121.95623016267</v>
      </c>
      <c r="J58">
        <f>'Starting population'!C57*H58</f>
        <v>72616.69616919936</v>
      </c>
      <c r="K58">
        <f t="shared" si="1"/>
        <v>19120.427457911428</v>
      </c>
      <c r="L58">
        <f t="shared" si="2"/>
        <v>40659.798596180204</v>
      </c>
      <c r="Q58">
        <f>H$5*'Starting population'!B57-M58</f>
        <v>34034.83429082594</v>
      </c>
      <c r="R58">
        <f>I$5*'Starting population'!C57-N58</f>
        <v>28319.123691344892</v>
      </c>
      <c r="S58">
        <f>(1-H$5)*'Starting population'!B57-O58</f>
        <v>63207.54939724816</v>
      </c>
      <c r="T58">
        <f>(1-I$5)*'Starting population'!C57-P58</f>
        <v>84957.37107403467</v>
      </c>
      <c r="U58">
        <f t="shared" si="5"/>
        <v>27342.684680556933</v>
      </c>
      <c r="V58">
        <f t="shared" si="6"/>
        <v>18154.17404229984</v>
      </c>
      <c r="W58">
        <f t="shared" si="7"/>
        <v>50779.271549605735</v>
      </c>
      <c r="X58">
        <f t="shared" si="8"/>
        <v>54462.52212689952</v>
      </c>
      <c r="Y58">
        <f t="shared" si="9"/>
        <v>6692.1496102690035</v>
      </c>
      <c r="Z58">
        <f t="shared" si="10"/>
        <v>10164.949649045051</v>
      </c>
      <c r="AA58">
        <f t="shared" si="11"/>
        <v>12428.277847642428</v>
      </c>
      <c r="AB58">
        <f t="shared" si="12"/>
        <v>30494.84894713515</v>
      </c>
    </row>
    <row r="59" spans="2:28" ht="12.75">
      <c r="B59">
        <v>54</v>
      </c>
      <c r="E59">
        <f>'Starting population'!B58-C59</f>
        <v>95209.60506949355</v>
      </c>
      <c r="F59">
        <f>'Starting population'!C58-D59</f>
        <v>111612.38848459782</v>
      </c>
      <c r="G59">
        <f>(1-G58)*Marriage!B$30+G58*(1-Divorce!B$30)</f>
        <v>0.8044915962006659</v>
      </c>
      <c r="H59">
        <f>(1-H58)*Marriage!C$30+H58*(1-Divorce!C$30)</f>
        <v>0.6352355076751941</v>
      </c>
      <c r="I59">
        <f>'Starting population'!B58*G59</f>
        <v>76595.32715599188</v>
      </c>
      <c r="J59">
        <f>'Starting population'!C58*H59</f>
        <v>70900.15226185448</v>
      </c>
      <c r="K59">
        <f t="shared" si="1"/>
        <v>18614.277913501675</v>
      </c>
      <c r="L59">
        <f t="shared" si="2"/>
        <v>40712.23622274333</v>
      </c>
      <c r="Q59">
        <f>H$5*'Starting population'!B58-M59</f>
        <v>33323.361774322744</v>
      </c>
      <c r="R59">
        <f>I$5*'Starting population'!C58-N59</f>
        <v>27903.097121149454</v>
      </c>
      <c r="S59">
        <f>(1-H$5)*'Starting population'!B58-O59</f>
        <v>61886.24329517081</v>
      </c>
      <c r="T59">
        <f>(1-I$5)*'Starting population'!C58-P59</f>
        <v>83709.29136344837</v>
      </c>
      <c r="U59">
        <f t="shared" si="5"/>
        <v>26808.364504597157</v>
      </c>
      <c r="V59">
        <f t="shared" si="6"/>
        <v>17725.03806546362</v>
      </c>
      <c r="W59">
        <f t="shared" si="7"/>
        <v>49786.96265139472</v>
      </c>
      <c r="X59">
        <f t="shared" si="8"/>
        <v>53175.11419639086</v>
      </c>
      <c r="Y59">
        <f t="shared" si="9"/>
        <v>6514.997269725587</v>
      </c>
      <c r="Z59">
        <f t="shared" si="10"/>
        <v>10178.059055685833</v>
      </c>
      <c r="AA59">
        <f t="shared" si="11"/>
        <v>12099.280643776088</v>
      </c>
      <c r="AB59">
        <f t="shared" si="12"/>
        <v>30534.17716705751</v>
      </c>
    </row>
    <row r="60" spans="2:28" ht="12.75">
      <c r="B60">
        <v>55</v>
      </c>
      <c r="E60">
        <f>'Starting population'!B59-C60</f>
        <v>92923.56277178478</v>
      </c>
      <c r="F60">
        <f>'Starting population'!C59-D60</f>
        <v>109478.85338321047</v>
      </c>
      <c r="G60">
        <f>(1-G59)*Marriage!B$30+G59*(1-Divorce!B$30)</f>
        <v>0.8054957137403257</v>
      </c>
      <c r="H60">
        <f>(1-H59)*Marriage!C$30+H59*(1-Divorce!C$30)</f>
        <v>0.6298300732785278</v>
      </c>
      <c r="I60">
        <f>'Starting population'!B59*G60</f>
        <v>74849.53151815274</v>
      </c>
      <c r="J60">
        <f>'Starting population'!C59*H60</f>
        <v>68953.07424879665</v>
      </c>
      <c r="K60">
        <f t="shared" si="1"/>
        <v>18074.03125363204</v>
      </c>
      <c r="L60">
        <f t="shared" si="2"/>
        <v>40525.779134413824</v>
      </c>
      <c r="Q60">
        <f>H$5*'Starting population'!B59-M60</f>
        <v>32523.24697012467</v>
      </c>
      <c r="R60">
        <f>I$5*'Starting population'!C59-N60</f>
        <v>27369.71334580262</v>
      </c>
      <c r="S60">
        <f>(1-H$5)*'Starting population'!B59-O60</f>
        <v>60400.31580166011</v>
      </c>
      <c r="T60">
        <f>(1-I$5)*'Starting population'!C59-P60</f>
        <v>82109.14003740785</v>
      </c>
      <c r="U60">
        <f t="shared" si="5"/>
        <v>26197.336031353458</v>
      </c>
      <c r="V60">
        <f t="shared" si="6"/>
        <v>17238.268562199162</v>
      </c>
      <c r="W60">
        <f t="shared" si="7"/>
        <v>48652.19548679928</v>
      </c>
      <c r="X60">
        <f t="shared" si="8"/>
        <v>51714.80568659749</v>
      </c>
      <c r="Y60">
        <f t="shared" si="9"/>
        <v>6325.910938771212</v>
      </c>
      <c r="Z60">
        <f t="shared" si="10"/>
        <v>10131.444783603456</v>
      </c>
      <c r="AA60">
        <f t="shared" si="11"/>
        <v>11748.120314860826</v>
      </c>
      <c r="AB60">
        <f t="shared" si="12"/>
        <v>30394.334350810364</v>
      </c>
    </row>
    <row r="61" spans="2:28" ht="12.75">
      <c r="B61">
        <v>56</v>
      </c>
      <c r="E61">
        <f>'Starting population'!B60-C61</f>
        <v>89933.00219997458</v>
      </c>
      <c r="F61">
        <f>'Starting population'!C60-D61</f>
        <v>106161.38558406498</v>
      </c>
      <c r="G61">
        <f>(1-G60)*Marriage!B$31+G60*(1-Divorce!B$31)</f>
        <v>0.805885071124774</v>
      </c>
      <c r="H61">
        <f>(1-H60)*Marriage!C$31+H60*(1-Divorce!C$31)</f>
        <v>0.6181940519204852</v>
      </c>
      <c r="I61">
        <f>'Starting population'!B60*G61</f>
        <v>72475.66387439097</v>
      </c>
      <c r="J61">
        <f>'Starting population'!C60*H61</f>
        <v>65628.3371117061</v>
      </c>
      <c r="K61">
        <f t="shared" si="1"/>
        <v>17457.33832558361</v>
      </c>
      <c r="L61">
        <f t="shared" si="2"/>
        <v>40533.048472358874</v>
      </c>
      <c r="Q61">
        <f>H$5*'Starting population'!B60-M61</f>
        <v>31476.5507699911</v>
      </c>
      <c r="R61">
        <f>I$5*'Starting population'!C60-N61</f>
        <v>26540.346396016244</v>
      </c>
      <c r="S61">
        <f>(1-H$5)*'Starting population'!B60-O61</f>
        <v>58456.45142998348</v>
      </c>
      <c r="T61">
        <f>(1-I$5)*'Starting population'!C60-P61</f>
        <v>79621.03918804873</v>
      </c>
      <c r="U61">
        <f t="shared" si="5"/>
        <v>25366.48235603684</v>
      </c>
      <c r="V61">
        <f t="shared" si="6"/>
        <v>16407.084277926526</v>
      </c>
      <c r="W61">
        <f t="shared" si="7"/>
        <v>47109.18151835413</v>
      </c>
      <c r="X61">
        <f t="shared" si="8"/>
        <v>49221.25283377958</v>
      </c>
      <c r="Y61">
        <f t="shared" si="9"/>
        <v>6110.068413954261</v>
      </c>
      <c r="Z61">
        <f t="shared" si="10"/>
        <v>10133.262118089719</v>
      </c>
      <c r="AA61">
        <f t="shared" si="11"/>
        <v>11347.269911629344</v>
      </c>
      <c r="AB61">
        <f t="shared" si="12"/>
        <v>30399.78635426915</v>
      </c>
    </row>
    <row r="62" spans="2:28" ht="12.75">
      <c r="B62">
        <v>57</v>
      </c>
      <c r="E62">
        <f>'Starting population'!B61-C62</f>
        <v>85734.52829125396</v>
      </c>
      <c r="F62">
        <f>'Starting population'!C61-D62</f>
        <v>100985.01975937156</v>
      </c>
      <c r="G62">
        <f>(1-G61)*Marriage!B$31+G61*(1-Divorce!B$31)</f>
        <v>0.8062369133787274</v>
      </c>
      <c r="H62">
        <f>(1-H61)*Marriage!C$31+H61*(1-Divorce!C$31)</f>
        <v>0.6073457250155856</v>
      </c>
      <c r="I62">
        <f>'Starting population'!B61*G62</f>
        <v>69122.34145952176</v>
      </c>
      <c r="J62">
        <f>'Starting population'!C61*H62</f>
        <v>61332.82004146875</v>
      </c>
      <c r="K62">
        <f t="shared" si="1"/>
        <v>16612.186831732193</v>
      </c>
      <c r="L62">
        <f t="shared" si="2"/>
        <v>39652.199717902804</v>
      </c>
      <c r="Q62">
        <f>H$5*'Starting population'!B61-M62</f>
        <v>30007.08490193888</v>
      </c>
      <c r="R62">
        <f>I$5*'Starting population'!C61-N62</f>
        <v>25246.25493984289</v>
      </c>
      <c r="S62">
        <f>(1-H$5)*'Starting population'!B61-O62</f>
        <v>55727.44338931507</v>
      </c>
      <c r="T62">
        <f>(1-I$5)*'Starting population'!C61-P62</f>
        <v>75738.76481952867</v>
      </c>
      <c r="U62">
        <f t="shared" si="5"/>
        <v>24192.819510832614</v>
      </c>
      <c r="V62">
        <f t="shared" si="6"/>
        <v>15333.205010367188</v>
      </c>
      <c r="W62">
        <f t="shared" si="7"/>
        <v>44929.521948689144</v>
      </c>
      <c r="X62">
        <f t="shared" si="8"/>
        <v>45999.615031101566</v>
      </c>
      <c r="Y62">
        <f t="shared" si="9"/>
        <v>5814.265391106266</v>
      </c>
      <c r="Z62">
        <f t="shared" si="10"/>
        <v>9913.049929475701</v>
      </c>
      <c r="AA62">
        <f t="shared" si="11"/>
        <v>10797.921440625927</v>
      </c>
      <c r="AB62">
        <f t="shared" si="12"/>
        <v>29739.14978842711</v>
      </c>
    </row>
    <row r="63" spans="2:28" ht="12.75">
      <c r="B63">
        <v>58</v>
      </c>
      <c r="E63">
        <f>'Starting population'!B62-C63</f>
        <v>80595.89316432635</v>
      </c>
      <c r="F63">
        <f>'Starting population'!C62-D63</f>
        <v>94401.2150453674</v>
      </c>
      <c r="G63">
        <f>(1-G62)*Marriage!B$31+G62*(1-Divorce!B$31)</f>
        <v>0.8065548551376652</v>
      </c>
      <c r="H63">
        <f>(1-H62)*Marriage!C$31+H62*(1-Divorce!C$31)</f>
        <v>0.5972317699948494</v>
      </c>
      <c r="I63">
        <f>'Starting population'!B62*G63</f>
        <v>65005.00893584398</v>
      </c>
      <c r="J63">
        <f>'Starting population'!C62*H63</f>
        <v>56379.40475120918</v>
      </c>
      <c r="K63">
        <f t="shared" si="1"/>
        <v>15590.88422848237</v>
      </c>
      <c r="L63">
        <f t="shared" si="2"/>
        <v>38021.81029415822</v>
      </c>
      <c r="Q63">
        <f>H$5*'Starting population'!B62-M63</f>
        <v>28208.56260751422</v>
      </c>
      <c r="R63">
        <f>I$5*'Starting population'!C62-N63</f>
        <v>23600.30376134185</v>
      </c>
      <c r="S63">
        <f>(1-H$5)*'Starting population'!B62-O63</f>
        <v>52387.33055681213</v>
      </c>
      <c r="T63">
        <f>(1-I$5)*'Starting population'!C62-P63</f>
        <v>70800.91128402555</v>
      </c>
      <c r="U63">
        <f t="shared" si="5"/>
        <v>22751.75312754539</v>
      </c>
      <c r="V63">
        <f t="shared" si="6"/>
        <v>14094.851187802295</v>
      </c>
      <c r="W63">
        <f t="shared" si="7"/>
        <v>42253.255808298585</v>
      </c>
      <c r="X63">
        <f t="shared" si="8"/>
        <v>42284.55356340688</v>
      </c>
      <c r="Y63">
        <f t="shared" si="9"/>
        <v>5456.80947996883</v>
      </c>
      <c r="Z63">
        <f t="shared" si="10"/>
        <v>9505.452573539555</v>
      </c>
      <c r="AA63">
        <f t="shared" si="11"/>
        <v>10134.074748513543</v>
      </c>
      <c r="AB63">
        <f t="shared" si="12"/>
        <v>28516.357720618675</v>
      </c>
    </row>
    <row r="64" spans="2:28" ht="12.75">
      <c r="B64">
        <v>59</v>
      </c>
      <c r="E64">
        <f>'Starting population'!B63-C64</f>
        <v>74811.91847521468</v>
      </c>
      <c r="F64">
        <f>'Starting population'!C63-D64</f>
        <v>86876.34682608767</v>
      </c>
      <c r="G64">
        <f>(1-G63)*Marriage!B$31+G63*(1-Divorce!B$31)</f>
        <v>0.8068421627618653</v>
      </c>
      <c r="H64">
        <f>(1-H63)*Marriage!C$31+H63*(1-Divorce!C$31)</f>
        <v>0.5878024739330507</v>
      </c>
      <c r="I64">
        <f>'Starting population'!B63*G64</f>
        <v>60361.41010290656</v>
      </c>
      <c r="J64">
        <f>'Starting population'!C63*H64</f>
        <v>51066.13159064007</v>
      </c>
      <c r="K64">
        <f t="shared" si="1"/>
        <v>14450.508372308126</v>
      </c>
      <c r="L64">
        <f t="shared" si="2"/>
        <v>35810.2152354476</v>
      </c>
      <c r="Q64">
        <f>H$5*'Starting population'!B63-M64</f>
        <v>26184.171466325137</v>
      </c>
      <c r="R64">
        <f>I$5*'Starting population'!C63-N64</f>
        <v>21719.086706521917</v>
      </c>
      <c r="S64">
        <f>(1-H$5)*'Starting population'!B63-O64</f>
        <v>48627.74700888954</v>
      </c>
      <c r="T64">
        <f>(1-I$5)*'Starting population'!C63-P64</f>
        <v>65157.26011956575</v>
      </c>
      <c r="U64">
        <f t="shared" si="5"/>
        <v>21126.493536017293</v>
      </c>
      <c r="V64">
        <f t="shared" si="6"/>
        <v>12766.532897660018</v>
      </c>
      <c r="W64">
        <f t="shared" si="7"/>
        <v>39234.91656688926</v>
      </c>
      <c r="X64">
        <f t="shared" si="8"/>
        <v>38299.59869298006</v>
      </c>
      <c r="Y64">
        <f t="shared" si="9"/>
        <v>5057.677930307844</v>
      </c>
      <c r="Z64">
        <f t="shared" si="10"/>
        <v>8952.5538088619</v>
      </c>
      <c r="AA64">
        <f t="shared" si="11"/>
        <v>9392.830442000282</v>
      </c>
      <c r="AB64">
        <f t="shared" si="12"/>
        <v>26857.66142658569</v>
      </c>
    </row>
    <row r="65" spans="2:28" ht="12.75">
      <c r="B65">
        <v>60</v>
      </c>
      <c r="E65">
        <f>'Starting population'!B64-C65</f>
        <v>69319.61232177421</v>
      </c>
      <c r="F65">
        <f>'Starting population'!C64-D65</f>
        <v>79772.39659445305</v>
      </c>
      <c r="G65">
        <f>(1-G64)*Marriage!B$31+G64*(1-Divorce!B$31)</f>
        <v>0.8071017878932076</v>
      </c>
      <c r="H65">
        <f>(1-H64)*Marriage!C$31+H64*(1-Divorce!C$31)</f>
        <v>0.5790114891957486</v>
      </c>
      <c r="I65">
        <f>'Starting population'!B64*G65</f>
        <v>55947.98304096799</v>
      </c>
      <c r="J65">
        <f>'Starting population'!C64*H65</f>
        <v>46189.13414886813</v>
      </c>
      <c r="K65">
        <f t="shared" si="1"/>
        <v>13371.62928080622</v>
      </c>
      <c r="L65">
        <f t="shared" si="2"/>
        <v>33583.26244558492</v>
      </c>
      <c r="Q65">
        <f>H$5*'Starting population'!B64-M65</f>
        <v>24261.86431262097</v>
      </c>
      <c r="R65">
        <f>I$5*'Starting population'!C64-N65</f>
        <v>19943.099148613263</v>
      </c>
      <c r="S65">
        <f>(1-H$5)*'Starting population'!B64-O65</f>
        <v>45057.74800915324</v>
      </c>
      <c r="T65">
        <f>(1-I$5)*'Starting population'!C64-P65</f>
        <v>59829.29744583979</v>
      </c>
      <c r="U65">
        <f t="shared" si="5"/>
        <v>19581.794064338796</v>
      </c>
      <c r="V65">
        <f t="shared" si="6"/>
        <v>11547.283537217032</v>
      </c>
      <c r="W65">
        <f t="shared" si="7"/>
        <v>36366.18897662919</v>
      </c>
      <c r="X65">
        <f t="shared" si="8"/>
        <v>34641.8506116511</v>
      </c>
      <c r="Y65">
        <f t="shared" si="9"/>
        <v>4680.070248282176</v>
      </c>
      <c r="Z65">
        <f t="shared" si="10"/>
        <v>8395.81561139623</v>
      </c>
      <c r="AA65">
        <f t="shared" si="11"/>
        <v>8691.559032524048</v>
      </c>
      <c r="AB65">
        <f t="shared" si="12"/>
        <v>25187.44683418869</v>
      </c>
    </row>
    <row r="66" spans="2:28" ht="12.75">
      <c r="B66">
        <v>61</v>
      </c>
      <c r="E66">
        <f>'Starting population'!B65-C66</f>
        <v>64983.54670346205</v>
      </c>
      <c r="F66">
        <f>'Starting population'!C65-D66</f>
        <v>74341.72019249623</v>
      </c>
      <c r="G66">
        <f>(1-G65)*Marriage!B$32+G65*(1-Divorce!B$32)</f>
        <v>0.8051875174450493</v>
      </c>
      <c r="H66">
        <f>(1-H65)*Marriage!C$32+H65*(1-Divorce!C$32)</f>
        <v>0.5626411810152183</v>
      </c>
      <c r="I66">
        <f>'Starting population'!B65*G66</f>
        <v>52323.94064493503</v>
      </c>
      <c r="J66">
        <f>'Starting population'!C65*H66</f>
        <v>41827.713247808984</v>
      </c>
      <c r="K66">
        <f t="shared" si="1"/>
        <v>12659.606058527024</v>
      </c>
      <c r="L66">
        <f t="shared" si="2"/>
        <v>32514.006944687244</v>
      </c>
      <c r="Q66">
        <f>H$5*'Starting population'!B65-M66</f>
        <v>22744.24134621172</v>
      </c>
      <c r="R66">
        <f>I$5*'Starting population'!C65-N66</f>
        <v>18585.430048124057</v>
      </c>
      <c r="S66">
        <f>(1-H$5)*'Starting population'!B65-O66</f>
        <v>42239.305357250334</v>
      </c>
      <c r="T66">
        <f>(1-I$5)*'Starting population'!C65-P66</f>
        <v>55756.29014437217</v>
      </c>
      <c r="U66">
        <f t="shared" si="5"/>
        <v>18313.379225727258</v>
      </c>
      <c r="V66">
        <f t="shared" si="6"/>
        <v>10456.928311952246</v>
      </c>
      <c r="W66">
        <f t="shared" si="7"/>
        <v>34010.56141920777</v>
      </c>
      <c r="X66">
        <f t="shared" si="8"/>
        <v>31370.78493585674</v>
      </c>
      <c r="Y66">
        <f t="shared" si="9"/>
        <v>4430.86212048446</v>
      </c>
      <c r="Z66">
        <f t="shared" si="10"/>
        <v>8128.501736171811</v>
      </c>
      <c r="AA66">
        <f t="shared" si="11"/>
        <v>8228.743938042564</v>
      </c>
      <c r="AB66">
        <f t="shared" si="12"/>
        <v>24385.50520851543</v>
      </c>
    </row>
    <row r="67" spans="2:28" ht="12.75">
      <c r="B67">
        <v>62</v>
      </c>
      <c r="E67">
        <f>'Starting population'!B66-C67</f>
        <v>62657.586912354745</v>
      </c>
      <c r="F67">
        <f>'Starting population'!C66-D67</f>
        <v>71737.08490248557</v>
      </c>
      <c r="G67">
        <f>(1-G66)*Marriage!B$32+G66*(1-Divorce!B$32)</f>
        <v>0.8034532991869522</v>
      </c>
      <c r="H67">
        <f>(1-H66)*Marriage!C$32+H66*(1-Divorce!C$32)</f>
        <v>0.5473839838697955</v>
      </c>
      <c r="I67">
        <f>'Starting population'!B66*G67</f>
        <v>50342.444923824616</v>
      </c>
      <c r="J67">
        <f>'Starting population'!C66*H67</f>
        <v>39267.73132512831</v>
      </c>
      <c r="K67">
        <f t="shared" si="1"/>
        <v>12315.14198853013</v>
      </c>
      <c r="L67">
        <f t="shared" si="2"/>
        <v>32469.35357735726</v>
      </c>
      <c r="Q67">
        <f>H$5*'Starting population'!B66-M67</f>
        <v>21930.15541932416</v>
      </c>
      <c r="R67">
        <f>I$5*'Starting population'!C66-N67</f>
        <v>17934.271225621393</v>
      </c>
      <c r="S67">
        <f>(1-H$5)*'Starting population'!B66-O67</f>
        <v>40727.431493030585</v>
      </c>
      <c r="T67">
        <f>(1-I$5)*'Starting population'!C66-P67</f>
        <v>53802.81367686418</v>
      </c>
      <c r="U67">
        <f t="shared" si="5"/>
        <v>17619.855723338613</v>
      </c>
      <c r="V67">
        <f t="shared" si="6"/>
        <v>9816.932831282078</v>
      </c>
      <c r="W67">
        <f t="shared" si="7"/>
        <v>32722.589200486003</v>
      </c>
      <c r="X67">
        <f t="shared" si="8"/>
        <v>29450.798493846232</v>
      </c>
      <c r="Y67">
        <f t="shared" si="9"/>
        <v>4310.299695985548</v>
      </c>
      <c r="Z67">
        <f t="shared" si="10"/>
        <v>8117.338394339315</v>
      </c>
      <c r="AA67">
        <f t="shared" si="11"/>
        <v>8004.842292544581</v>
      </c>
      <c r="AB67">
        <f t="shared" si="12"/>
        <v>24352.015183017946</v>
      </c>
    </row>
    <row r="68" spans="2:28" ht="12.75">
      <c r="B68">
        <v>63</v>
      </c>
      <c r="E68">
        <f>'Starting population'!B67-C68</f>
        <v>62020.60844765401</v>
      </c>
      <c r="F68">
        <f>'Starting population'!C67-D68</f>
        <v>71439.78388198762</v>
      </c>
      <c r="G68">
        <f>(1-G67)*Marriage!B$32+G67*(1-Divorce!B$32)</f>
        <v>0.801882197794455</v>
      </c>
      <c r="H68">
        <f>(1-H67)*Marriage!C$32+H67*(1-Divorce!C$32)</f>
        <v>0.5331642109634335</v>
      </c>
      <c r="I68">
        <f>'Starting population'!B67*G68</f>
        <v>49733.22181055414</v>
      </c>
      <c r="J68">
        <f>'Starting population'!C67*H68</f>
        <v>38089.13600483814</v>
      </c>
      <c r="K68">
        <f t="shared" si="1"/>
        <v>12287.386637099873</v>
      </c>
      <c r="L68">
        <f t="shared" si="2"/>
        <v>33350.64787714948</v>
      </c>
      <c r="Q68">
        <f>H$5*'Starting population'!B67-M68</f>
        <v>21707.212956678904</v>
      </c>
      <c r="R68">
        <f>I$5*'Starting population'!C67-N68</f>
        <v>17859.945970496905</v>
      </c>
      <c r="S68">
        <f>(1-H$5)*'Starting population'!B67-O68</f>
        <v>40313.39549097511</v>
      </c>
      <c r="T68">
        <f>(1-I$5)*'Starting population'!C67-P68</f>
        <v>53579.837911490715</v>
      </c>
      <c r="U68">
        <f t="shared" si="5"/>
        <v>17406.627633693948</v>
      </c>
      <c r="V68">
        <f t="shared" si="6"/>
        <v>9522.284001209535</v>
      </c>
      <c r="W68">
        <f t="shared" si="7"/>
        <v>32326.59417686019</v>
      </c>
      <c r="X68">
        <f t="shared" si="8"/>
        <v>28566.852003628606</v>
      </c>
      <c r="Y68">
        <f t="shared" si="9"/>
        <v>4300.585322984956</v>
      </c>
      <c r="Z68">
        <f t="shared" si="10"/>
        <v>8337.66196928737</v>
      </c>
      <c r="AA68">
        <f t="shared" si="11"/>
        <v>7986.80131411492</v>
      </c>
      <c r="AB68">
        <f t="shared" si="12"/>
        <v>25012.98590786211</v>
      </c>
    </row>
    <row r="69" spans="2:28" ht="12.75">
      <c r="B69">
        <v>64</v>
      </c>
      <c r="E69">
        <f>'Starting population'!B68-C69</f>
        <v>62154.81833957628</v>
      </c>
      <c r="F69">
        <f>'Starting population'!C68-D69</f>
        <v>72141.65021378473</v>
      </c>
      <c r="G69">
        <f>(1-G68)*Marriage!B$32+G68*(1-Divorce!B$32)</f>
        <v>0.800458870843547</v>
      </c>
      <c r="H69">
        <f>(1-H68)*Marriage!C$32+H68*(1-Divorce!C$32)</f>
        <v>0.5199113218789422</v>
      </c>
      <c r="I69">
        <f>'Starting population'!B68*G69</f>
        <v>49752.37570558302</v>
      </c>
      <c r="J69">
        <f>'Starting population'!C68*H69</f>
        <v>37507.26072517709</v>
      </c>
      <c r="K69">
        <f t="shared" si="1"/>
        <v>12402.442633993262</v>
      </c>
      <c r="L69">
        <f t="shared" si="2"/>
        <v>34634.38948860764</v>
      </c>
      <c r="Q69">
        <f>H$5*'Starting population'!B68-M69</f>
        <v>21754.1864188517</v>
      </c>
      <c r="R69">
        <f>I$5*'Starting population'!C68-N69</f>
        <v>18035.412553446182</v>
      </c>
      <c r="S69">
        <f>(1-H$5)*'Starting population'!B68-O69</f>
        <v>40400.63192072458</v>
      </c>
      <c r="T69">
        <f>(1-I$5)*'Starting population'!C68-P69</f>
        <v>54106.23766033855</v>
      </c>
      <c r="U69">
        <f t="shared" si="5"/>
        <v>17413.331496954055</v>
      </c>
      <c r="V69">
        <f t="shared" si="6"/>
        <v>9376.815181294272</v>
      </c>
      <c r="W69">
        <f t="shared" si="7"/>
        <v>32339.044208628966</v>
      </c>
      <c r="X69">
        <f t="shared" si="8"/>
        <v>28130.445543882815</v>
      </c>
      <c r="Y69">
        <f t="shared" si="9"/>
        <v>4340.854921897644</v>
      </c>
      <c r="Z69">
        <f t="shared" si="10"/>
        <v>8658.59737215191</v>
      </c>
      <c r="AA69">
        <f t="shared" si="11"/>
        <v>8061.5877120956175</v>
      </c>
      <c r="AB69">
        <f t="shared" si="12"/>
        <v>25975.792116455734</v>
      </c>
    </row>
    <row r="70" spans="2:28" ht="12.75">
      <c r="B70">
        <v>65</v>
      </c>
      <c r="E70">
        <f>'Starting population'!B69-C70</f>
        <v>62009.58504449299</v>
      </c>
      <c r="F70">
        <f>'Starting population'!C69-D70</f>
        <v>72458.46099821213</v>
      </c>
      <c r="G70">
        <f>(1-G69)*Marriage!B$32+G69*(1-Divorce!B$32)</f>
        <v>0.799169418985853</v>
      </c>
      <c r="H70">
        <f>(1-H69)*Marriage!C$32+H69*(1-Divorce!C$32)</f>
        <v>0.5075595726462068</v>
      </c>
      <c r="I70">
        <f>'Starting population'!B69*G70</f>
        <v>49556.1640515613</v>
      </c>
      <c r="J70">
        <f>'Starting population'!C69*H70</f>
        <v>36776.98549885439</v>
      </c>
      <c r="K70">
        <f t="shared" si="1"/>
        <v>12453.420992931686</v>
      </c>
      <c r="L70">
        <f t="shared" si="2"/>
        <v>35681.475499357744</v>
      </c>
      <c r="Q70">
        <f>H$5*'Starting population'!B69-M70</f>
        <v>21703.354765572545</v>
      </c>
      <c r="R70">
        <f>I$5*'Starting population'!C69-N70</f>
        <v>18114.615249553033</v>
      </c>
      <c r="S70">
        <f>(1-H$5)*'Starting population'!B69-O70</f>
        <v>40306.23027892045</v>
      </c>
      <c r="T70">
        <f>(1-I$5)*'Starting population'!C69-P70</f>
        <v>54343.8457486591</v>
      </c>
      <c r="U70">
        <f t="shared" si="5"/>
        <v>17344.657418046456</v>
      </c>
      <c r="V70">
        <f t="shared" si="6"/>
        <v>9194.246374713597</v>
      </c>
      <c r="W70">
        <f t="shared" si="7"/>
        <v>32211.506633514848</v>
      </c>
      <c r="X70">
        <f t="shared" si="8"/>
        <v>27582.73912414079</v>
      </c>
      <c r="Y70">
        <f t="shared" si="9"/>
        <v>4358.697347526089</v>
      </c>
      <c r="Z70">
        <f t="shared" si="10"/>
        <v>8920.368874839436</v>
      </c>
      <c r="AA70">
        <f t="shared" si="11"/>
        <v>8094.7236454056</v>
      </c>
      <c r="AB70">
        <f t="shared" si="12"/>
        <v>26761.10662451831</v>
      </c>
    </row>
    <row r="71" spans="2:28" ht="12.75">
      <c r="B71">
        <v>66</v>
      </c>
      <c r="E71">
        <f>'Starting population'!B70-C71</f>
        <v>60663.58216032022</v>
      </c>
      <c r="F71">
        <f>'Starting population'!C70-D71</f>
        <v>71261.96479570714</v>
      </c>
      <c r="G71">
        <f>(1-G70)*Marriage!B$33+G70*(1-Divorce!B$33)</f>
        <v>0.7946006240929532</v>
      </c>
      <c r="H71">
        <f>(1-H70)*Marriage!C$33+H70*(1-Divorce!C$33)</f>
        <v>0.48674105624941133</v>
      </c>
      <c r="I71">
        <f>'Starting population'!B70*G71</f>
        <v>48203.32024430459</v>
      </c>
      <c r="J71">
        <f>'Starting population'!C70*H71</f>
        <v>34686.12401507086</v>
      </c>
      <c r="K71">
        <f t="shared" si="1"/>
        <v>12460.261916015632</v>
      </c>
      <c r="L71">
        <f t="shared" si="2"/>
        <v>36575.84078063628</v>
      </c>
      <c r="Q71">
        <f>H$5*'Starting population'!B70-M71</f>
        <v>21232.253756112077</v>
      </c>
      <c r="R71">
        <f>I$5*'Starting population'!C70-N71</f>
        <v>17815.491198926786</v>
      </c>
      <c r="S71">
        <f>(1-H$5)*'Starting population'!B70-O71</f>
        <v>39431.32840420814</v>
      </c>
      <c r="T71">
        <f>(1-I$5)*'Starting population'!C70-P71</f>
        <v>53446.47359678036</v>
      </c>
      <c r="U71">
        <f t="shared" si="5"/>
        <v>16871.162085506607</v>
      </c>
      <c r="V71">
        <f t="shared" si="6"/>
        <v>8671.531003767715</v>
      </c>
      <c r="W71">
        <f t="shared" si="7"/>
        <v>31332.15815879798</v>
      </c>
      <c r="X71">
        <f t="shared" si="8"/>
        <v>26014.593011303146</v>
      </c>
      <c r="Y71">
        <f t="shared" si="9"/>
        <v>4361.09167060547</v>
      </c>
      <c r="Z71">
        <f t="shared" si="10"/>
        <v>9143.96019515907</v>
      </c>
      <c r="AA71">
        <f t="shared" si="11"/>
        <v>8099.170245410161</v>
      </c>
      <c r="AB71">
        <f t="shared" si="12"/>
        <v>27431.88058547721</v>
      </c>
    </row>
    <row r="72" spans="2:28" ht="12.75">
      <c r="B72">
        <v>67</v>
      </c>
      <c r="E72">
        <f>'Starting population'!B71-C72</f>
        <v>57522.26222631359</v>
      </c>
      <c r="F72">
        <f>'Starting population'!C71-D72</f>
        <v>67892.99684526646</v>
      </c>
      <c r="G72">
        <f>(1-G71)*Marriage!B$33+G71*(1-Divorce!B$33)</f>
        <v>0.7904581337121913</v>
      </c>
      <c r="H72">
        <f>(1-H71)*Marriage!C$33+H71*(1-Divorce!C$33)</f>
        <v>0.4674737378718048</v>
      </c>
      <c r="I72">
        <f>'Starting population'!B71*G72</f>
        <v>45468.94004631512</v>
      </c>
      <c r="J72">
        <f>'Starting population'!C71*H72</f>
        <v>31738.193010575364</v>
      </c>
      <c r="K72">
        <f t="shared" si="1"/>
        <v>12053.322179998475</v>
      </c>
      <c r="L72">
        <f t="shared" si="2"/>
        <v>36154.8038346911</v>
      </c>
      <c r="Q72">
        <f>H$5*'Starting population'!B71-M72</f>
        <v>20132.791779209758</v>
      </c>
      <c r="R72">
        <f>I$5*'Starting population'!C71-N72</f>
        <v>16973.249211316615</v>
      </c>
      <c r="S72">
        <f>(1-H$5)*'Starting population'!B71-O72</f>
        <v>37389.470447103835</v>
      </c>
      <c r="T72">
        <f>(1-I$5)*'Starting population'!C71-P72</f>
        <v>50919.747633949846</v>
      </c>
      <c r="U72">
        <f t="shared" si="5"/>
        <v>15914.12901621029</v>
      </c>
      <c r="V72">
        <f t="shared" si="6"/>
        <v>7934.548252643841</v>
      </c>
      <c r="W72">
        <f t="shared" si="7"/>
        <v>29554.81103010483</v>
      </c>
      <c r="X72">
        <f t="shared" si="8"/>
        <v>23803.64475793152</v>
      </c>
      <c r="Y72">
        <f t="shared" si="9"/>
        <v>4218.662762999467</v>
      </c>
      <c r="Z72">
        <f t="shared" si="10"/>
        <v>9038.700958672775</v>
      </c>
      <c r="AA72">
        <f t="shared" si="11"/>
        <v>7834.659416999006</v>
      </c>
      <c r="AB72">
        <f t="shared" si="12"/>
        <v>27116.102876018325</v>
      </c>
    </row>
    <row r="73" spans="2:28" ht="12.75">
      <c r="B73">
        <v>68</v>
      </c>
      <c r="E73">
        <f>'Starting population'!B72-C73</f>
        <v>54558.49458194561</v>
      </c>
      <c r="F73">
        <f>'Starting population'!C72-D73</f>
        <v>64831.51898923812</v>
      </c>
      <c r="G73">
        <f>(1-G72)*Marriage!B$33+G72*(1-Divorce!B$33)</f>
        <v>0.7867021702782949</v>
      </c>
      <c r="H73">
        <f>(1-H72)*Marriage!C$33+H72*(1-Divorce!C$33)</f>
        <v>0.44964203697686506</v>
      </c>
      <c r="I73">
        <f>'Starting population'!B72*G73</f>
        <v>42921.28609473321</v>
      </c>
      <c r="J73">
        <f>'Starting population'!C72*H73</f>
        <v>29150.976258625335</v>
      </c>
      <c r="K73">
        <f t="shared" si="1"/>
        <v>11637.208487212403</v>
      </c>
      <c r="L73">
        <f t="shared" si="2"/>
        <v>35680.54273061278</v>
      </c>
      <c r="Q73">
        <f>H$5*'Starting population'!B72-M73</f>
        <v>19095.473103680964</v>
      </c>
      <c r="R73">
        <f>I$5*'Starting population'!C72-N73</f>
        <v>16207.87974730953</v>
      </c>
      <c r="S73">
        <f>(1-H$5)*'Starting population'!B72-O73</f>
        <v>35463.02147826465</v>
      </c>
      <c r="T73">
        <f>(1-I$5)*'Starting population'!C72-P73</f>
        <v>48623.639241928584</v>
      </c>
      <c r="U73">
        <f t="shared" si="5"/>
        <v>15022.450133156623</v>
      </c>
      <c r="V73">
        <f t="shared" si="6"/>
        <v>7287.744064656334</v>
      </c>
      <c r="W73">
        <f t="shared" si="7"/>
        <v>27898.835961576588</v>
      </c>
      <c r="X73">
        <f t="shared" si="8"/>
        <v>21863.232193969</v>
      </c>
      <c r="Y73">
        <f t="shared" si="9"/>
        <v>4073.022970524342</v>
      </c>
      <c r="Z73">
        <f t="shared" si="10"/>
        <v>8920.135682653196</v>
      </c>
      <c r="AA73">
        <f t="shared" si="11"/>
        <v>7564.185516688063</v>
      </c>
      <c r="AB73">
        <f t="shared" si="12"/>
        <v>26760.407047959583</v>
      </c>
    </row>
    <row r="74" spans="2:28" ht="12.75">
      <c r="B74">
        <v>69</v>
      </c>
      <c r="E74">
        <f>'Starting population'!B73-C74</f>
        <v>51358.80537434257</v>
      </c>
      <c r="F74">
        <f>'Starting population'!C73-D74</f>
        <v>61999.297828480085</v>
      </c>
      <c r="G74">
        <f>(1-G73)*Marriage!B$33+G73*(1-Divorce!B$33)</f>
        <v>0.783296667785813</v>
      </c>
      <c r="H74">
        <f>(1-H73)*Marriage!C$33+H73*(1-Divorce!C$33)</f>
        <v>0.4331389849913768</v>
      </c>
      <c r="I74">
        <f>'Starting population'!B73*G74</f>
        <v>40229.18111118264</v>
      </c>
      <c r="J74">
        <f>'Starting population'!C73*H74</f>
        <v>26854.31293160594</v>
      </c>
      <c r="K74">
        <f t="shared" si="1"/>
        <v>11129.62426315993</v>
      </c>
      <c r="L74">
        <f t="shared" si="2"/>
        <v>35144.98489687414</v>
      </c>
      <c r="Q74">
        <f>H$5*'Starting population'!B73-M74</f>
        <v>17975.581881019898</v>
      </c>
      <c r="R74">
        <f>I$5*'Starting population'!C73-N74</f>
        <v>15499.824457120021</v>
      </c>
      <c r="S74">
        <f>(1-H$5)*'Starting population'!B73-O74</f>
        <v>33383.22349332267</v>
      </c>
      <c r="T74">
        <f>(1-I$5)*'Starting population'!C73-P74</f>
        <v>46499.473371360065</v>
      </c>
      <c r="U74">
        <f t="shared" si="5"/>
        <v>14080.213388913922</v>
      </c>
      <c r="V74">
        <f t="shared" si="6"/>
        <v>6713.578232901485</v>
      </c>
      <c r="W74">
        <f t="shared" si="7"/>
        <v>26148.967722268717</v>
      </c>
      <c r="X74">
        <f t="shared" si="8"/>
        <v>20140.734698704455</v>
      </c>
      <c r="Y74">
        <f t="shared" si="9"/>
        <v>3895.3684921059757</v>
      </c>
      <c r="Z74">
        <f t="shared" si="10"/>
        <v>8786.246224218536</v>
      </c>
      <c r="AA74">
        <f t="shared" si="11"/>
        <v>7234.255771053955</v>
      </c>
      <c r="AB74">
        <f t="shared" si="12"/>
        <v>26358.73867265561</v>
      </c>
    </row>
    <row r="75" spans="2:28" ht="12.75">
      <c r="B75">
        <v>70</v>
      </c>
      <c r="E75">
        <f>'Starting population'!B74-C75</f>
        <v>46571.51609002122</v>
      </c>
      <c r="F75">
        <f>'Starting population'!C74-D75</f>
        <v>56881.02346311644</v>
      </c>
      <c r="G75">
        <f>(1-G74)*Marriage!B$33+G74*(1-Divorce!B$33)</f>
        <v>0.7802089254713811</v>
      </c>
      <c r="H75">
        <f>(1-H74)*Marriage!C$33+H74*(1-Divorce!C$33)</f>
        <v>0.4178655836237588</v>
      </c>
      <c r="I75">
        <f>'Starting population'!B74*G75</f>
        <v>36335.51252616859</v>
      </c>
      <c r="J75">
        <f>'Starting population'!C74*H75</f>
        <v>23768.62206653187</v>
      </c>
      <c r="K75">
        <f t="shared" si="1"/>
        <v>10236.003563852631</v>
      </c>
      <c r="L75">
        <f t="shared" si="2"/>
        <v>33112.40139658457</v>
      </c>
      <c r="Q75">
        <f>H$5*'Starting population'!B74-M75</f>
        <v>16300.030631507427</v>
      </c>
      <c r="R75">
        <f>I$5*'Starting population'!C74-N75</f>
        <v>14220.25586577911</v>
      </c>
      <c r="S75">
        <f>(1-H$5)*'Starting population'!B74-O75</f>
        <v>30271.485458513795</v>
      </c>
      <c r="T75">
        <f>(1-I$5)*'Starting population'!C74-P75</f>
        <v>42660.76759733733</v>
      </c>
      <c r="U75">
        <f t="shared" si="5"/>
        <v>12717.429384159006</v>
      </c>
      <c r="V75">
        <f t="shared" si="6"/>
        <v>5942.155516632967</v>
      </c>
      <c r="W75">
        <f t="shared" si="7"/>
        <v>23618.083142009586</v>
      </c>
      <c r="X75">
        <f t="shared" si="8"/>
        <v>17826.4665498989</v>
      </c>
      <c r="Y75">
        <f t="shared" si="9"/>
        <v>3582.6012473484207</v>
      </c>
      <c r="Z75">
        <f t="shared" si="10"/>
        <v>8278.100349146143</v>
      </c>
      <c r="AA75">
        <f t="shared" si="11"/>
        <v>6653.402316504209</v>
      </c>
      <c r="AB75">
        <f t="shared" si="12"/>
        <v>24834.301047438432</v>
      </c>
    </row>
    <row r="76" spans="2:28" ht="12.75">
      <c r="B76">
        <v>71</v>
      </c>
      <c r="E76">
        <f>'Starting population'!B75-C76</f>
        <v>42130.89942957198</v>
      </c>
      <c r="F76">
        <f>'Starting population'!C75-D76</f>
        <v>51530.81907416682</v>
      </c>
      <c r="G76">
        <f>(1-G75)*Marriage!B$34+G75*(1-Divorce!B$34)</f>
        <v>0.7709304647537855</v>
      </c>
      <c r="H76">
        <f>(1-H75)*Marriage!C$34+H75*(1-Divorce!C$34)</f>
        <v>0.39491808692506236</v>
      </c>
      <c r="I76">
        <f>'Starting population'!B75*G76</f>
        <v>32479.993877734923</v>
      </c>
      <c r="J76">
        <f>'Starting population'!C75*H76</f>
        <v>20350.452486451475</v>
      </c>
      <c r="K76">
        <f t="shared" si="1"/>
        <v>9650.905551837059</v>
      </c>
      <c r="L76">
        <f t="shared" si="2"/>
        <v>31180.366587715347</v>
      </c>
      <c r="Q76">
        <f>H$5*'Starting population'!B75-M76</f>
        <v>14745.814800350192</v>
      </c>
      <c r="R76">
        <f>I$5*'Starting population'!C75-N76</f>
        <v>12882.704768541706</v>
      </c>
      <c r="S76">
        <f>(1-H$5)*'Starting population'!B75-O76</f>
        <v>27385.08462922179</v>
      </c>
      <c r="T76">
        <f>(1-I$5)*'Starting population'!C75-P76</f>
        <v>38648.11430562512</v>
      </c>
      <c r="U76">
        <f t="shared" si="5"/>
        <v>11367.997857207223</v>
      </c>
      <c r="V76">
        <f t="shared" si="6"/>
        <v>5087.613121612869</v>
      </c>
      <c r="W76">
        <f t="shared" si="7"/>
        <v>21111.996020527702</v>
      </c>
      <c r="X76">
        <f t="shared" si="8"/>
        <v>15262.839364838606</v>
      </c>
      <c r="Y76">
        <f t="shared" si="9"/>
        <v>3377.8169431429687</v>
      </c>
      <c r="Z76">
        <f t="shared" si="10"/>
        <v>7795.091646928837</v>
      </c>
      <c r="AA76">
        <f t="shared" si="11"/>
        <v>6273.088608694088</v>
      </c>
      <c r="AB76">
        <f t="shared" si="12"/>
        <v>23385.274940786512</v>
      </c>
    </row>
    <row r="77" spans="2:28" ht="12.75">
      <c r="B77">
        <v>72</v>
      </c>
      <c r="E77">
        <f>'Starting population'!B76-C77</f>
        <v>37888.38300739153</v>
      </c>
      <c r="F77">
        <f>'Starting population'!C76-D77</f>
        <v>46475.244236949206</v>
      </c>
      <c r="G77">
        <f>(1-G76)*Marriage!B$34+G76*(1-Divorce!B$34)</f>
        <v>0.7625591286258493</v>
      </c>
      <c r="H77">
        <f>(1-H76)*Marriage!C$34+H76*(1-Divorce!C$34)</f>
        <v>0.37394468212133875</v>
      </c>
      <c r="I77">
        <f>'Starting population'!B76*G77</f>
        <v>28892.132331158922</v>
      </c>
      <c r="J77">
        <f>'Starting population'!C76*H77</f>
        <v>17379.170432697552</v>
      </c>
      <c r="K77">
        <f t="shared" si="1"/>
        <v>8996.250676232608</v>
      </c>
      <c r="L77">
        <f t="shared" si="2"/>
        <v>29096.073804251653</v>
      </c>
      <c r="Q77">
        <f>H$5*'Starting population'!B76-M77</f>
        <v>13260.934052587036</v>
      </c>
      <c r="R77">
        <f>I$5*'Starting population'!C76-N77</f>
        <v>11618.811059237301</v>
      </c>
      <c r="S77">
        <f>(1-H$5)*'Starting population'!B76-O77</f>
        <v>24627.448954804495</v>
      </c>
      <c r="T77">
        <f>(1-I$5)*'Starting population'!C76-P77</f>
        <v>34856.43317771191</v>
      </c>
      <c r="U77">
        <f t="shared" si="5"/>
        <v>10112.246315905622</v>
      </c>
      <c r="V77">
        <f t="shared" si="6"/>
        <v>4344.792608174388</v>
      </c>
      <c r="W77">
        <f t="shared" si="7"/>
        <v>18779.8860152533</v>
      </c>
      <c r="X77">
        <f t="shared" si="8"/>
        <v>13034.377824523164</v>
      </c>
      <c r="Y77">
        <f t="shared" si="9"/>
        <v>3148.6877366814133</v>
      </c>
      <c r="Z77">
        <f t="shared" si="10"/>
        <v>7274.018451062913</v>
      </c>
      <c r="AA77">
        <f t="shared" si="11"/>
        <v>5847.562939551193</v>
      </c>
      <c r="AB77">
        <f t="shared" si="12"/>
        <v>21822.05535318874</v>
      </c>
    </row>
    <row r="78" spans="2:28" ht="12.75">
      <c r="B78">
        <v>73</v>
      </c>
      <c r="E78">
        <f>'Starting population'!B77-C78</f>
        <v>33855.07281083051</v>
      </c>
      <c r="F78">
        <f>'Starting population'!C77-D78</f>
        <v>41613.78900008856</v>
      </c>
      <c r="G78">
        <f>(1-G77)*Marriage!B$34+G77*(1-Divorce!B$34)</f>
        <v>0.7550062304997633</v>
      </c>
      <c r="H78">
        <f>(1-H77)*Marriage!C$34+H77*(1-Divorce!C$34)</f>
        <v>0.3547755450761705</v>
      </c>
      <c r="I78">
        <f>'Starting population'!B77*G78</f>
        <v>25560.79090620017</v>
      </c>
      <c r="J78">
        <f>'Starting population'!C77*H78</f>
        <v>14763.554675191166</v>
      </c>
      <c r="K78">
        <f t="shared" si="1"/>
        <v>8294.281904630341</v>
      </c>
      <c r="L78">
        <f t="shared" si="2"/>
        <v>26850.234324897392</v>
      </c>
      <c r="Q78">
        <f>H$5*'Starting population'!B77-M78</f>
        <v>11849.275483790678</v>
      </c>
      <c r="R78">
        <f>I$5*'Starting population'!C77-N78</f>
        <v>10403.44725002214</v>
      </c>
      <c r="S78">
        <f>(1-H$5)*'Starting population'!B77-O78</f>
        <v>22005.797327039832</v>
      </c>
      <c r="T78">
        <f>(1-I$5)*'Starting population'!C77-P78</f>
        <v>31210.34175006642</v>
      </c>
      <c r="U78">
        <f t="shared" si="5"/>
        <v>8946.276817170059</v>
      </c>
      <c r="V78">
        <f t="shared" si="6"/>
        <v>3690.8886687977915</v>
      </c>
      <c r="W78">
        <f t="shared" si="7"/>
        <v>16614.51408903011</v>
      </c>
      <c r="X78">
        <f t="shared" si="8"/>
        <v>11072.666006393374</v>
      </c>
      <c r="Y78">
        <f t="shared" si="9"/>
        <v>2902.9986666206187</v>
      </c>
      <c r="Z78">
        <f t="shared" si="10"/>
        <v>6712.558581224348</v>
      </c>
      <c r="AA78">
        <f t="shared" si="11"/>
        <v>5391.283238009721</v>
      </c>
      <c r="AB78">
        <f t="shared" si="12"/>
        <v>20137.675743673048</v>
      </c>
    </row>
    <row r="79" spans="2:28" ht="12.75">
      <c r="B79">
        <v>74</v>
      </c>
      <c r="E79">
        <f>'Starting population'!B78-C79</f>
        <v>25482.981837227515</v>
      </c>
      <c r="F79">
        <f>'Starting population'!C78-D79</f>
        <v>32152.965015637143</v>
      </c>
      <c r="G79">
        <f>(1-G78)*Marriage!B$34+G78*(1-Divorce!B$34)</f>
        <v>0.7481917543837392</v>
      </c>
      <c r="H79">
        <f>(1-H78)*Marriage!C$34+H78*(1-Divorce!C$34)</f>
        <v>0.3372554610223309</v>
      </c>
      <c r="I79">
        <f>'Starting population'!B78*G79</f>
        <v>19066.156887724217</v>
      </c>
      <c r="J79">
        <f>'Starting population'!C78*H79</f>
        <v>10843.76303958358</v>
      </c>
      <c r="K79">
        <f t="shared" si="1"/>
        <v>6416.824949503298</v>
      </c>
      <c r="L79">
        <f t="shared" si="2"/>
        <v>21309.201976053562</v>
      </c>
      <c r="Q79">
        <f>H$5*'Starting population'!B78-M79</f>
        <v>8919.04364302963</v>
      </c>
      <c r="R79">
        <f>I$5*'Starting population'!C78-N79</f>
        <v>8038.241253909286</v>
      </c>
      <c r="S79">
        <f>(1-H$5)*'Starting population'!B78-O79</f>
        <v>16563.938194197886</v>
      </c>
      <c r="T79">
        <f>(1-I$5)*'Starting population'!C78-P79</f>
        <v>24114.72376172786</v>
      </c>
      <c r="U79">
        <f t="shared" si="5"/>
        <v>6673.154910703475</v>
      </c>
      <c r="V79">
        <f t="shared" si="6"/>
        <v>2710.940759895895</v>
      </c>
      <c r="W79">
        <f t="shared" si="7"/>
        <v>12393.001977020742</v>
      </c>
      <c r="X79">
        <f t="shared" si="8"/>
        <v>8132.822279687685</v>
      </c>
      <c r="Y79">
        <f t="shared" si="9"/>
        <v>2245.888732326155</v>
      </c>
      <c r="Z79">
        <f t="shared" si="10"/>
        <v>5327.300494013391</v>
      </c>
      <c r="AA79">
        <f t="shared" si="11"/>
        <v>4170.9362171771445</v>
      </c>
      <c r="AB79">
        <f t="shared" si="12"/>
        <v>15981.901482040174</v>
      </c>
    </row>
    <row r="80" spans="2:28" ht="12.75">
      <c r="B80">
        <v>75</v>
      </c>
      <c r="E80">
        <f>'Starting population'!B79-C80</f>
        <v>18554.577388484788</v>
      </c>
      <c r="F80">
        <f>'Starting population'!C79-D80</f>
        <v>24232.0045390043</v>
      </c>
      <c r="G80">
        <f>(1-G79)*Marriage!B$34+G79*(1-Divorce!B$34)</f>
        <v>0.7420435071863513</v>
      </c>
      <c r="H80">
        <f>(1-H79)*Marriage!C$34+H79*(1-Divorce!C$34)</f>
        <v>0.32124256776947707</v>
      </c>
      <c r="I80">
        <f>'Starting population'!B79*G80</f>
        <v>13768.303679711822</v>
      </c>
      <c r="J80">
        <f>'Starting population'!C79*H80</f>
        <v>7784.351360311365</v>
      </c>
      <c r="K80">
        <f aca="true" t="shared" si="67" ref="K80:K95">E80-I80</f>
        <v>4786.273708772966</v>
      </c>
      <c r="L80">
        <f aca="true" t="shared" si="68" ref="L80:L95">F80-J80</f>
        <v>16447.653178692937</v>
      </c>
      <c r="Q80">
        <f>H$5*'Starting population'!B79-M80</f>
        <v>6494.1020859696755</v>
      </c>
      <c r="R80">
        <f>I$5*'Starting population'!C79-N80</f>
        <v>6058.001134751075</v>
      </c>
      <c r="S80">
        <f>(1-H$5)*'Starting population'!B79-O80</f>
        <v>12060.475302515113</v>
      </c>
      <c r="T80">
        <f>(1-I$5)*'Starting population'!C79-P80</f>
        <v>18174.003404253228</v>
      </c>
      <c r="U80">
        <f aca="true" t="shared" si="69" ref="U80:U95">I80*H$5</f>
        <v>4818.906287899137</v>
      </c>
      <c r="V80">
        <f aca="true" t="shared" si="70" ref="V80:V95">J80*I$5</f>
        <v>1946.0878400778413</v>
      </c>
      <c r="W80">
        <f aca="true" t="shared" si="71" ref="W80:W95">I80*(1-H$5)</f>
        <v>8949.397391812685</v>
      </c>
      <c r="X80">
        <f aca="true" t="shared" si="72" ref="X80:X95">J80*(1-I$5)</f>
        <v>5838.263520233524</v>
      </c>
      <c r="Y80">
        <f aca="true" t="shared" si="73" ref="Y80:Y95">Q80-U80</f>
        <v>1675.1957980705383</v>
      </c>
      <c r="Z80">
        <f aca="true" t="shared" si="74" ref="Z80:Z95">R80-V80</f>
        <v>4111.913294673234</v>
      </c>
      <c r="AA80">
        <f aca="true" t="shared" si="75" ref="AA80:AA95">S80-W80</f>
        <v>3111.077910702428</v>
      </c>
      <c r="AB80">
        <f aca="true" t="shared" si="76" ref="AB80:AB95">T80-X80</f>
        <v>12335.739884019704</v>
      </c>
    </row>
    <row r="81" spans="2:28" ht="12.75">
      <c r="B81">
        <v>76</v>
      </c>
      <c r="E81">
        <f>'Starting population'!B80-C81</f>
        <v>13146.75229786782</v>
      </c>
      <c r="F81">
        <f>'Starting population'!C80-D81</f>
        <v>17846.573888809486</v>
      </c>
      <c r="G81">
        <f>(1-G80)*Marriage!B$35+G80*(1-Divorce!B$35)</f>
        <v>0.728782120148415</v>
      </c>
      <c r="H81">
        <f>(1-H80)*Marriage!C$35+H80*(1-Divorce!C$35)</f>
        <v>0.2983233062789704</v>
      </c>
      <c r="I81">
        <f>'Starting population'!B80*G81</f>
        <v>9581.118012706158</v>
      </c>
      <c r="J81">
        <f>'Starting population'!C80*H81</f>
        <v>5324.048928261588</v>
      </c>
      <c r="K81">
        <f t="shared" si="67"/>
        <v>3565.634285161663</v>
      </c>
      <c r="L81">
        <f t="shared" si="68"/>
        <v>12522.524960547897</v>
      </c>
      <c r="Q81">
        <f>H$5*'Starting population'!B80-M81</f>
        <v>4601.363304253737</v>
      </c>
      <c r="R81">
        <f>I$5*'Starting population'!C80-N81</f>
        <v>4461.643472202371</v>
      </c>
      <c r="S81">
        <f>(1-H$5)*'Starting population'!B80-O81</f>
        <v>8545.388993614084</v>
      </c>
      <c r="T81">
        <f>(1-I$5)*'Starting population'!C80-P81</f>
        <v>13384.930416607114</v>
      </c>
      <c r="U81">
        <f t="shared" si="69"/>
        <v>3353.391304447155</v>
      </c>
      <c r="V81">
        <f t="shared" si="70"/>
        <v>1331.012232065397</v>
      </c>
      <c r="W81">
        <f t="shared" si="71"/>
        <v>6227.726708259003</v>
      </c>
      <c r="X81">
        <f t="shared" si="72"/>
        <v>3993.036696196191</v>
      </c>
      <c r="Y81">
        <f t="shared" si="73"/>
        <v>1247.9719998065816</v>
      </c>
      <c r="Z81">
        <f t="shared" si="74"/>
        <v>3130.631240136974</v>
      </c>
      <c r="AA81">
        <f t="shared" si="75"/>
        <v>2317.6622853550807</v>
      </c>
      <c r="AB81">
        <f t="shared" si="76"/>
        <v>9391.893720410924</v>
      </c>
    </row>
    <row r="82" spans="2:28" ht="12.75">
      <c r="B82">
        <v>77</v>
      </c>
      <c r="E82">
        <f>'Starting population'!B81-C82</f>
        <v>9047.661083895115</v>
      </c>
      <c r="F82">
        <f>'Starting population'!C81-D82</f>
        <v>12817.72193118961</v>
      </c>
      <c r="G82">
        <f>(1-G81)*Marriage!B$35+G81*(1-Divorce!B$35)</f>
        <v>0.7169015054596405</v>
      </c>
      <c r="H82">
        <f>(1-H81)*Marriage!C$35+H81*(1-Divorce!C$35)</f>
        <v>0.27775269106972716</v>
      </c>
      <c r="I82">
        <f>'Starting population'!B81*G82</f>
        <v>6486.28185193301</v>
      </c>
      <c r="J82">
        <f>'Starting population'!C81*H82</f>
        <v>3560.1567597713743</v>
      </c>
      <c r="K82">
        <f t="shared" si="67"/>
        <v>2561.3792319621043</v>
      </c>
      <c r="L82">
        <f t="shared" si="68"/>
        <v>9257.565171418235</v>
      </c>
      <c r="Q82">
        <f>H$5*'Starting population'!B81-M82</f>
        <v>3166.68137936329</v>
      </c>
      <c r="R82">
        <f>I$5*'Starting population'!C81-N82</f>
        <v>3204.4304827974024</v>
      </c>
      <c r="S82">
        <f>(1-H$5)*'Starting population'!B81-O82</f>
        <v>5880.979704531825</v>
      </c>
      <c r="T82">
        <f>(1-I$5)*'Starting population'!C81-P82</f>
        <v>9613.291448392207</v>
      </c>
      <c r="U82">
        <f t="shared" si="69"/>
        <v>2270.1986481765534</v>
      </c>
      <c r="V82">
        <f t="shared" si="70"/>
        <v>890.0391899428436</v>
      </c>
      <c r="W82">
        <f t="shared" si="71"/>
        <v>4216.083203756457</v>
      </c>
      <c r="X82">
        <f t="shared" si="72"/>
        <v>2670.1175698285306</v>
      </c>
      <c r="Y82">
        <f t="shared" si="73"/>
        <v>896.4827311867366</v>
      </c>
      <c r="Z82">
        <f t="shared" si="74"/>
        <v>2314.3912928545587</v>
      </c>
      <c r="AA82">
        <f t="shared" si="75"/>
        <v>1664.8965007753677</v>
      </c>
      <c r="AB82">
        <f t="shared" si="76"/>
        <v>6943.173878563676</v>
      </c>
    </row>
    <row r="83" spans="2:28" ht="12.75">
      <c r="B83">
        <v>78</v>
      </c>
      <c r="E83">
        <f>'Starting population'!B82-C83</f>
        <v>6036.1143125486415</v>
      </c>
      <c r="F83">
        <f>'Starting population'!C82-D83</f>
        <v>8956.436391001454</v>
      </c>
      <c r="G83">
        <f>(1-G82)*Marriage!B$35+G82*(1-Divorce!B$35)</f>
        <v>0.706257897443424</v>
      </c>
      <c r="H83">
        <f>(1-H82)*Marriage!C$35+H82*(1-Divorce!C$35)</f>
        <v>0.2592900451305453</v>
      </c>
      <c r="I83">
        <f>'Starting population'!B82*G83</f>
        <v>4263.053403108763</v>
      </c>
      <c r="J83">
        <f>'Starting population'!C82*H83</f>
        <v>2322.3147960316255</v>
      </c>
      <c r="K83">
        <f t="shared" si="67"/>
        <v>1773.0609094398787</v>
      </c>
      <c r="L83">
        <f t="shared" si="68"/>
        <v>6634.121594969829</v>
      </c>
      <c r="Q83">
        <f>H$5*'Starting population'!B82-M83</f>
        <v>2112.6400093920242</v>
      </c>
      <c r="R83">
        <f>I$5*'Starting population'!C82-N83</f>
        <v>2239.1090977503636</v>
      </c>
      <c r="S83">
        <f>(1-H$5)*'Starting population'!B82-O83</f>
        <v>3923.474303156617</v>
      </c>
      <c r="T83">
        <f>(1-I$5)*'Starting population'!C82-P83</f>
        <v>6717.327293251091</v>
      </c>
      <c r="U83">
        <f t="shared" si="69"/>
        <v>1492.0686910880668</v>
      </c>
      <c r="V83">
        <f t="shared" si="70"/>
        <v>580.5786990079064</v>
      </c>
      <c r="W83">
        <f t="shared" si="71"/>
        <v>2770.984712020696</v>
      </c>
      <c r="X83">
        <f t="shared" si="72"/>
        <v>1741.7360970237191</v>
      </c>
      <c r="Y83">
        <f t="shared" si="73"/>
        <v>620.5713183039575</v>
      </c>
      <c r="Z83">
        <f t="shared" si="74"/>
        <v>1658.5303987424572</v>
      </c>
      <c r="AA83">
        <f t="shared" si="75"/>
        <v>1152.4895911359213</v>
      </c>
      <c r="AB83">
        <f t="shared" si="76"/>
        <v>4975.591196227371</v>
      </c>
    </row>
    <row r="84" spans="2:28" ht="12.75">
      <c r="B84">
        <v>79</v>
      </c>
      <c r="E84">
        <f>'Starting population'!B83-C84</f>
        <v>3895.854882347898</v>
      </c>
      <c r="F84">
        <f>'Starting population'!C83-D84</f>
        <v>6072.525963547648</v>
      </c>
      <c r="G84">
        <f>(1-G83)*Marriage!B$35+G83*(1-Divorce!B$35)</f>
        <v>0.6967224992699689</v>
      </c>
      <c r="H84">
        <f>(1-H83)*Marriage!C$35+H83*(1-Divorce!C$35)</f>
        <v>0.24271935477402057</v>
      </c>
      <c r="I84">
        <f>'Starting population'!B83*G84</f>
        <v>2714.3297504225384</v>
      </c>
      <c r="J84">
        <f>'Starting population'!C83*H84</f>
        <v>1473.9195837207726</v>
      </c>
      <c r="K84">
        <f t="shared" si="67"/>
        <v>1181.5251319253598</v>
      </c>
      <c r="L84">
        <f t="shared" si="68"/>
        <v>4598.606379826875</v>
      </c>
      <c r="Q84">
        <f>H$5*'Starting population'!B83-M84</f>
        <v>1363.5492088217643</v>
      </c>
      <c r="R84">
        <f>I$5*'Starting population'!C83-N84</f>
        <v>1518.131490886912</v>
      </c>
      <c r="S84">
        <f>(1-H$5)*'Starting population'!B83-O84</f>
        <v>2532.305673526134</v>
      </c>
      <c r="T84">
        <f>(1-I$5)*'Starting population'!C83-P84</f>
        <v>4554.394472660736</v>
      </c>
      <c r="U84">
        <f t="shared" si="69"/>
        <v>950.0154126478884</v>
      </c>
      <c r="V84">
        <f t="shared" si="70"/>
        <v>368.47989593019315</v>
      </c>
      <c r="W84">
        <f t="shared" si="71"/>
        <v>1764.31433777465</v>
      </c>
      <c r="X84">
        <f t="shared" si="72"/>
        <v>1105.4396877905795</v>
      </c>
      <c r="Y84">
        <f t="shared" si="73"/>
        <v>413.5337961738759</v>
      </c>
      <c r="Z84">
        <f t="shared" si="74"/>
        <v>1149.6515949567188</v>
      </c>
      <c r="AA84">
        <f t="shared" si="75"/>
        <v>767.9913357514838</v>
      </c>
      <c r="AB84">
        <f t="shared" si="76"/>
        <v>3448.954784870157</v>
      </c>
    </row>
    <row r="85" spans="2:28" ht="12.75">
      <c r="B85">
        <v>80</v>
      </c>
      <c r="E85">
        <f>'Starting population'!B84-C85</f>
        <v>2427.448445757167</v>
      </c>
      <c r="F85">
        <f>'Starting population'!C84-D85</f>
        <v>3982.9215189906536</v>
      </c>
      <c r="G85">
        <f>(1-G84)*Marriage!B$35+G84*(1-Divorce!B$35)</f>
        <v>0.6881799244036452</v>
      </c>
      <c r="H85">
        <f>(1-H84)*Marriage!C$35+H84*(1-Divorce!C$35)</f>
        <v>0.2278467422678637</v>
      </c>
      <c r="I85">
        <f>'Starting population'!B84*G85</f>
        <v>1670.5212878949133</v>
      </c>
      <c r="J85">
        <f>'Starting population'!C84*H85</f>
        <v>907.4956928105917</v>
      </c>
      <c r="K85">
        <f t="shared" si="67"/>
        <v>756.9271578622538</v>
      </c>
      <c r="L85">
        <f t="shared" si="68"/>
        <v>3075.425826180062</v>
      </c>
      <c r="Q85">
        <f>H$5*'Starting population'!B84-M85</f>
        <v>849.6069560150084</v>
      </c>
      <c r="R85">
        <f>I$5*'Starting population'!C84-N85</f>
        <v>995.7303797476634</v>
      </c>
      <c r="S85">
        <f>(1-H$5)*'Starting population'!B84-O85</f>
        <v>1577.8414897421587</v>
      </c>
      <c r="T85">
        <f>(1-I$5)*'Starting population'!C84-P85</f>
        <v>2987.19113924299</v>
      </c>
      <c r="U85">
        <f t="shared" si="69"/>
        <v>584.6824507632195</v>
      </c>
      <c r="V85">
        <f t="shared" si="70"/>
        <v>226.87392320264792</v>
      </c>
      <c r="W85">
        <f t="shared" si="71"/>
        <v>1085.8388371316937</v>
      </c>
      <c r="X85">
        <f t="shared" si="72"/>
        <v>680.6217696079437</v>
      </c>
      <c r="Y85">
        <f t="shared" si="73"/>
        <v>264.9245052517889</v>
      </c>
      <c r="Z85">
        <f t="shared" si="74"/>
        <v>768.8564565450155</v>
      </c>
      <c r="AA85">
        <f t="shared" si="75"/>
        <v>492.002652610465</v>
      </c>
      <c r="AB85">
        <f t="shared" si="76"/>
        <v>2306.5693696350463</v>
      </c>
    </row>
    <row r="86" spans="2:28" ht="12.75">
      <c r="B86">
        <v>81</v>
      </c>
      <c r="E86">
        <f>'Starting population'!B85-C86</f>
        <v>1456.854218796484</v>
      </c>
      <c r="F86">
        <f>'Starting population'!C85-D86</f>
        <v>2518.5846194612136</v>
      </c>
      <c r="G86">
        <f>(1-G85)*Marriage!B$36+G85*(1-Divorce!B$36)</f>
        <v>0.6733000005579219</v>
      </c>
      <c r="H86">
        <f>(1-H85)*Marriage!C$36+H85*(1-Divorce!C$36)</f>
        <v>0.2063496505423586</v>
      </c>
      <c r="I86">
        <f>'Starting population'!B85*G86</f>
        <v>980.8999463284837</v>
      </c>
      <c r="J86">
        <f>'Starting population'!C85*H86</f>
        <v>519.7090560871807</v>
      </c>
      <c r="K86">
        <f t="shared" si="67"/>
        <v>475.95427246800034</v>
      </c>
      <c r="L86">
        <f t="shared" si="68"/>
        <v>1998.875563374033</v>
      </c>
      <c r="Q86">
        <f>H$5*'Starting population'!B85-M86</f>
        <v>509.89897657876935</v>
      </c>
      <c r="R86">
        <f>I$5*'Starting population'!C85-N86</f>
        <v>629.6461548653034</v>
      </c>
      <c r="S86">
        <f>(1-H$5)*'Starting population'!B85-O86</f>
        <v>946.9552422177146</v>
      </c>
      <c r="T86">
        <f>(1-I$5)*'Starting population'!C85-P86</f>
        <v>1888.9384645959103</v>
      </c>
      <c r="U86">
        <f t="shared" si="69"/>
        <v>343.3149812149693</v>
      </c>
      <c r="V86">
        <f t="shared" si="70"/>
        <v>129.92726402179517</v>
      </c>
      <c r="W86">
        <f t="shared" si="71"/>
        <v>637.5849651135144</v>
      </c>
      <c r="X86">
        <f t="shared" si="72"/>
        <v>389.7817920653855</v>
      </c>
      <c r="Y86">
        <f t="shared" si="73"/>
        <v>166.58399536380006</v>
      </c>
      <c r="Z86">
        <f t="shared" si="74"/>
        <v>499.71889084350823</v>
      </c>
      <c r="AA86">
        <f t="shared" si="75"/>
        <v>309.3702771042002</v>
      </c>
      <c r="AB86">
        <f t="shared" si="76"/>
        <v>1499.1566725305247</v>
      </c>
    </row>
    <row r="87" spans="2:28" ht="12.75">
      <c r="B87">
        <v>82</v>
      </c>
      <c r="E87">
        <f>'Starting population'!B86-C87</f>
        <v>840.107401605812</v>
      </c>
      <c r="F87">
        <f>'Starting population'!C86-D87</f>
        <v>1529.647417125586</v>
      </c>
      <c r="G87">
        <f>(1-G86)*Marriage!B$36+G86*(1-Divorce!B$36)</f>
        <v>0.6600823853200539</v>
      </c>
      <c r="H87">
        <f>(1-H86)*Marriage!C$36+H86*(1-Divorce!C$36)</f>
        <v>0.18754122835250617</v>
      </c>
      <c r="I87">
        <f>'Starting population'!B86*G87</f>
        <v>554.5400975769969</v>
      </c>
      <c r="J87">
        <f>'Starting population'!C86*H87</f>
        <v>286.87195555397074</v>
      </c>
      <c r="K87">
        <f t="shared" si="67"/>
        <v>285.5673040288151</v>
      </c>
      <c r="L87">
        <f t="shared" si="68"/>
        <v>1242.775461571615</v>
      </c>
      <c r="Q87">
        <f>H$5*'Starting population'!B86-M87</f>
        <v>294.0375905620342</v>
      </c>
      <c r="R87">
        <f>I$5*'Starting population'!C86-N87</f>
        <v>382.4118542813965</v>
      </c>
      <c r="S87">
        <f>(1-H$5)*'Starting population'!B86-O87</f>
        <v>546.0698110437778</v>
      </c>
      <c r="T87">
        <f>(1-I$5)*'Starting population'!C86-P87</f>
        <v>1147.2355628441894</v>
      </c>
      <c r="U87">
        <f t="shared" si="69"/>
        <v>194.0890341519489</v>
      </c>
      <c r="V87">
        <f t="shared" si="70"/>
        <v>71.71798888849268</v>
      </c>
      <c r="W87">
        <f t="shared" si="71"/>
        <v>360.451063425048</v>
      </c>
      <c r="X87">
        <f t="shared" si="72"/>
        <v>215.15396666547804</v>
      </c>
      <c r="Y87">
        <f t="shared" si="73"/>
        <v>99.9485564100853</v>
      </c>
      <c r="Z87">
        <f t="shared" si="74"/>
        <v>310.6938653929038</v>
      </c>
      <c r="AA87">
        <f t="shared" si="75"/>
        <v>185.6187476187298</v>
      </c>
      <c r="AB87">
        <f t="shared" si="76"/>
        <v>932.0815961787114</v>
      </c>
    </row>
    <row r="88" spans="2:28" ht="12.75">
      <c r="B88">
        <v>83</v>
      </c>
      <c r="E88">
        <f>'Starting population'!B87-C88</f>
        <v>464.2331650077659</v>
      </c>
      <c r="F88">
        <f>'Starting population'!C87-D88</f>
        <v>888.6072033521842</v>
      </c>
      <c r="G88">
        <f>(1-G87)*Marriage!B$36+G87*(1-Divorce!B$36)</f>
        <v>0.648341374116792</v>
      </c>
      <c r="H88">
        <f>(1-H87)*Marriage!C$36+H87*(1-Divorce!C$36)</f>
        <v>0.1710852002632731</v>
      </c>
      <c r="I88">
        <f>'Starting population'!B87*G88</f>
        <v>300.98156811172237</v>
      </c>
      <c r="J88">
        <f>'Starting population'!C87*H88</f>
        <v>152.02754134089548</v>
      </c>
      <c r="K88">
        <f t="shared" si="67"/>
        <v>163.2515968960435</v>
      </c>
      <c r="L88">
        <f t="shared" si="68"/>
        <v>736.5796620112887</v>
      </c>
      <c r="Q88">
        <f>H$5*'Starting population'!B87-M88</f>
        <v>162.48160775271805</v>
      </c>
      <c r="R88">
        <f>I$5*'Starting population'!C87-N88</f>
        <v>222.15180083804606</v>
      </c>
      <c r="S88">
        <f>(1-H$5)*'Starting population'!B87-O88</f>
        <v>301.7515572550478</v>
      </c>
      <c r="T88">
        <f>(1-I$5)*'Starting population'!C87-P88</f>
        <v>666.4554025141382</v>
      </c>
      <c r="U88">
        <f t="shared" si="69"/>
        <v>105.34354883910282</v>
      </c>
      <c r="V88">
        <f t="shared" si="70"/>
        <v>38.00688533522387</v>
      </c>
      <c r="W88">
        <f t="shared" si="71"/>
        <v>195.63801927261954</v>
      </c>
      <c r="X88">
        <f t="shared" si="72"/>
        <v>114.02065600567161</v>
      </c>
      <c r="Y88">
        <f t="shared" si="73"/>
        <v>57.138058913615225</v>
      </c>
      <c r="Z88">
        <f t="shared" si="74"/>
        <v>184.1449155028222</v>
      </c>
      <c r="AA88">
        <f t="shared" si="75"/>
        <v>106.11353798242828</v>
      </c>
      <c r="AB88">
        <f t="shared" si="76"/>
        <v>552.4347465084666</v>
      </c>
    </row>
    <row r="89" spans="2:28" ht="12.75">
      <c r="B89">
        <v>84</v>
      </c>
      <c r="E89">
        <f>'Starting population'!B88-C89</f>
        <v>245.09761529626118</v>
      </c>
      <c r="F89">
        <f>'Starting population'!C88-D89</f>
        <v>491.5836977120869</v>
      </c>
      <c r="G89">
        <f>(1-G88)*Marriage!B$36+G88*(1-Divorce!B$36)</f>
        <v>0.6379120083352718</v>
      </c>
      <c r="H89">
        <f>(1-H88)*Marriage!C$36+H88*(1-Divorce!C$36)</f>
        <v>0.15668734925056388</v>
      </c>
      <c r="I89">
        <f>'Starting population'!B88*G89</f>
        <v>156.35071201182382</v>
      </c>
      <c r="J89">
        <f>'Starting population'!C88*H89</f>
        <v>77.02494652929738</v>
      </c>
      <c r="K89">
        <f t="shared" si="67"/>
        <v>88.74690328443737</v>
      </c>
      <c r="L89">
        <f t="shared" si="68"/>
        <v>414.55875118278954</v>
      </c>
      <c r="Q89">
        <f>H$5*'Starting population'!B88-M89</f>
        <v>85.7841653536914</v>
      </c>
      <c r="R89">
        <f>I$5*'Starting population'!C88-N89</f>
        <v>122.89592442802173</v>
      </c>
      <c r="S89">
        <f>(1-H$5)*'Starting population'!B88-O89</f>
        <v>159.31344994256978</v>
      </c>
      <c r="T89">
        <f>(1-I$5)*'Starting population'!C88-P89</f>
        <v>368.6877732840652</v>
      </c>
      <c r="U89">
        <f t="shared" si="69"/>
        <v>54.72274920413833</v>
      </c>
      <c r="V89">
        <f t="shared" si="70"/>
        <v>19.256236632324345</v>
      </c>
      <c r="W89">
        <f t="shared" si="71"/>
        <v>101.62796280768548</v>
      </c>
      <c r="X89">
        <f t="shared" si="72"/>
        <v>57.768709896973036</v>
      </c>
      <c r="Y89">
        <f t="shared" si="73"/>
        <v>31.061416149553075</v>
      </c>
      <c r="Z89">
        <f t="shared" si="74"/>
        <v>103.63968779569738</v>
      </c>
      <c r="AA89">
        <f t="shared" si="75"/>
        <v>57.6854871348843</v>
      </c>
      <c r="AB89">
        <f t="shared" si="76"/>
        <v>310.91906338709214</v>
      </c>
    </row>
    <row r="90" spans="2:28" ht="12.75">
      <c r="B90">
        <v>85</v>
      </c>
      <c r="E90">
        <f>'Starting population'!B89-C90</f>
        <v>123.24650060776679</v>
      </c>
      <c r="F90">
        <f>'Starting population'!C89-D90</f>
        <v>257.80383409262015</v>
      </c>
      <c r="G90">
        <f>(1-G89)*Marriage!B$36+G89*(1-Divorce!B$36)</f>
        <v>0.6286477576909555</v>
      </c>
      <c r="H90">
        <f>(1-H89)*Marriage!C$36+H89*(1-Divorce!C$36)</f>
        <v>0.14409025640044876</v>
      </c>
      <c r="I90">
        <f>'Starting population'!B89*G90</f>
        <v>77.47863625032957</v>
      </c>
      <c r="J90">
        <f>'Starting population'!C89*H90</f>
        <v>37.14702055542439</v>
      </c>
      <c r="K90">
        <f t="shared" si="67"/>
        <v>45.76786435743722</v>
      </c>
      <c r="L90">
        <f t="shared" si="68"/>
        <v>220.65681353719577</v>
      </c>
      <c r="Q90">
        <f>H$5*'Starting population'!B89-M90</f>
        <v>43.136275212718374</v>
      </c>
      <c r="R90">
        <f>I$5*'Starting population'!C89-N90</f>
        <v>64.45095852315504</v>
      </c>
      <c r="S90">
        <f>(1-H$5)*'Starting population'!B89-O90</f>
        <v>80.11022539504842</v>
      </c>
      <c r="T90">
        <f>(1-I$5)*'Starting population'!C89-P90</f>
        <v>193.3528755694651</v>
      </c>
      <c r="U90">
        <f t="shared" si="69"/>
        <v>27.11752268761535</v>
      </c>
      <c r="V90">
        <f t="shared" si="70"/>
        <v>9.286755138856098</v>
      </c>
      <c r="W90">
        <f t="shared" si="71"/>
        <v>50.36111356271422</v>
      </c>
      <c r="X90">
        <f t="shared" si="72"/>
        <v>27.860265416568293</v>
      </c>
      <c r="Y90">
        <f t="shared" si="73"/>
        <v>16.018752525103025</v>
      </c>
      <c r="Z90">
        <f t="shared" si="74"/>
        <v>55.16420338429894</v>
      </c>
      <c r="AA90">
        <f t="shared" si="75"/>
        <v>29.749111832334194</v>
      </c>
      <c r="AB90">
        <f t="shared" si="76"/>
        <v>165.49261015289682</v>
      </c>
    </row>
    <row r="91" spans="2:28" ht="12.75">
      <c r="B91">
        <v>86</v>
      </c>
      <c r="E91">
        <f>'Starting population'!B90-C91</f>
        <v>58.83797574372215</v>
      </c>
      <c r="F91">
        <f>'Starting population'!C90-D91</f>
        <v>127.60885079382999</v>
      </c>
      <c r="G91">
        <f>(1-G90)*Marriage!B$37+G90*(1-Divorce!B$37)</f>
        <v>0.6144818484897097</v>
      </c>
      <c r="H91">
        <f>(1-H90)*Marriage!C$37+H90*(1-Divorce!C$37)</f>
        <v>0.12675421351373564</v>
      </c>
      <c r="I91">
        <f>'Starting population'!B90*G91</f>
        <v>36.154868096395084</v>
      </c>
      <c r="J91">
        <f>'Starting population'!C90*H91</f>
        <v>16.17495951976356</v>
      </c>
      <c r="K91">
        <f t="shared" si="67"/>
        <v>22.683107647327063</v>
      </c>
      <c r="L91">
        <f t="shared" si="68"/>
        <v>111.43389127406643</v>
      </c>
      <c r="Q91">
        <f>H$5*'Starting population'!B90-M91</f>
        <v>20.593291510302752</v>
      </c>
      <c r="R91">
        <f>I$5*'Starting population'!C90-N91</f>
        <v>31.902212698457497</v>
      </c>
      <c r="S91">
        <f>(1-H$5)*'Starting population'!B90-O91</f>
        <v>38.2446842334194</v>
      </c>
      <c r="T91">
        <f>(1-I$5)*'Starting population'!C90-P91</f>
        <v>95.70663809537248</v>
      </c>
      <c r="U91">
        <f t="shared" si="69"/>
        <v>12.65420383373828</v>
      </c>
      <c r="V91">
        <f t="shared" si="70"/>
        <v>4.04373987994089</v>
      </c>
      <c r="W91">
        <f t="shared" si="71"/>
        <v>23.500664262656805</v>
      </c>
      <c r="X91">
        <f t="shared" si="72"/>
        <v>12.131219639822671</v>
      </c>
      <c r="Y91">
        <f t="shared" si="73"/>
        <v>7.939087676564473</v>
      </c>
      <c r="Z91">
        <f t="shared" si="74"/>
        <v>27.858472818516606</v>
      </c>
      <c r="AA91">
        <f t="shared" si="75"/>
        <v>14.744019970762594</v>
      </c>
      <c r="AB91">
        <f t="shared" si="76"/>
        <v>83.57541845554981</v>
      </c>
    </row>
    <row r="92" spans="2:28" ht="12.75">
      <c r="B92">
        <v>87</v>
      </c>
      <c r="E92">
        <f>'Starting population'!B91-C92</f>
        <v>26.590013533891963</v>
      </c>
      <c r="F92">
        <f>'Starting population'!C91-D92</f>
        <v>59.38645068365235</v>
      </c>
      <c r="G92">
        <f>(1-G91)*Marriage!B$37+G91*(1-Divorce!B$37)</f>
        <v>0.6019871892415881</v>
      </c>
      <c r="H92">
        <f>(1-H91)*Marriage!C$37+H91*(1-Divorce!C$37)</f>
        <v>0.11210550429604858</v>
      </c>
      <c r="I92">
        <f>'Starting population'!B91*G92</f>
        <v>16.00684750916341</v>
      </c>
      <c r="J92">
        <f>'Starting population'!C91*H92</f>
        <v>6.657548002243265</v>
      </c>
      <c r="K92">
        <f t="shared" si="67"/>
        <v>10.583166024728552</v>
      </c>
      <c r="L92">
        <f t="shared" si="68"/>
        <v>52.72890268140908</v>
      </c>
      <c r="Q92">
        <f>H$5*'Starting population'!B91-M92</f>
        <v>9.306504736862186</v>
      </c>
      <c r="R92">
        <f>I$5*'Starting population'!C91-N92</f>
        <v>14.846612670913087</v>
      </c>
      <c r="S92">
        <f>(1-H$5)*'Starting population'!B91-O92</f>
        <v>17.283508797029775</v>
      </c>
      <c r="T92">
        <f>(1-I$5)*'Starting population'!C91-P92</f>
        <v>44.53983801273926</v>
      </c>
      <c r="U92">
        <f t="shared" si="69"/>
        <v>5.6023966282071935</v>
      </c>
      <c r="V92">
        <f t="shared" si="70"/>
        <v>1.6643870005608163</v>
      </c>
      <c r="W92">
        <f t="shared" si="71"/>
        <v>10.404450880956217</v>
      </c>
      <c r="X92">
        <f t="shared" si="72"/>
        <v>4.993161001682449</v>
      </c>
      <c r="Y92">
        <f t="shared" si="73"/>
        <v>3.7041081086549923</v>
      </c>
      <c r="Z92">
        <f t="shared" si="74"/>
        <v>13.18222567035227</v>
      </c>
      <c r="AA92">
        <f t="shared" si="75"/>
        <v>6.879057916073558</v>
      </c>
      <c r="AB92">
        <f t="shared" si="76"/>
        <v>39.546677011056815</v>
      </c>
    </row>
    <row r="93" spans="2:28" ht="12.75">
      <c r="B93">
        <v>88</v>
      </c>
      <c r="E93">
        <f>'Starting population'!B92-C93</f>
        <v>11.349550893360092</v>
      </c>
      <c r="F93">
        <f>'Starting population'!C92-D93</f>
        <v>25.90884900799423</v>
      </c>
      <c r="G93">
        <f>(1-G92)*Marriage!B$37+G92*(1-Divorce!B$37)</f>
        <v>0.590966611069808</v>
      </c>
      <c r="H93">
        <f>(1-H92)*Marriage!C$37+H92*(1-Divorce!C$37)</f>
        <v>0.09972755373682296</v>
      </c>
      <c r="I93">
        <f>'Starting population'!B92*G93</f>
        <v>6.707205628613325</v>
      </c>
      <c r="J93">
        <f>'Starting population'!C92*H93</f>
        <v>2.583826131703977</v>
      </c>
      <c r="K93">
        <f t="shared" si="67"/>
        <v>4.642345264746767</v>
      </c>
      <c r="L93">
        <f t="shared" si="68"/>
        <v>23.325022876290255</v>
      </c>
      <c r="Q93">
        <f>H$5*'Starting population'!B92-M93</f>
        <v>3.972342812676032</v>
      </c>
      <c r="R93">
        <f>I$5*'Starting population'!C92-N93</f>
        <v>6.477212251998558</v>
      </c>
      <c r="S93">
        <f>(1-H$5)*'Starting population'!B92-O93</f>
        <v>7.37720808068406</v>
      </c>
      <c r="T93">
        <f>(1-I$5)*'Starting population'!C92-P93</f>
        <v>19.431636755995672</v>
      </c>
      <c r="U93">
        <f t="shared" si="69"/>
        <v>2.3475219700146637</v>
      </c>
      <c r="V93">
        <f t="shared" si="70"/>
        <v>0.6459565329259942</v>
      </c>
      <c r="W93">
        <f t="shared" si="71"/>
        <v>4.359683658598661</v>
      </c>
      <c r="X93">
        <f t="shared" si="72"/>
        <v>1.9378695987779826</v>
      </c>
      <c r="Y93">
        <f t="shared" si="73"/>
        <v>1.6248208426613684</v>
      </c>
      <c r="Z93">
        <f t="shared" si="74"/>
        <v>5.831255719072564</v>
      </c>
      <c r="AA93">
        <f t="shared" si="75"/>
        <v>3.0175244220853985</v>
      </c>
      <c r="AB93">
        <f t="shared" si="76"/>
        <v>17.49376715721769</v>
      </c>
    </row>
    <row r="94" spans="2:28" ht="12.75">
      <c r="B94">
        <v>89</v>
      </c>
      <c r="E94">
        <f>'Starting population'!B93-C94</f>
        <v>4.569958195403284</v>
      </c>
      <c r="F94">
        <f>'Starting population'!C93-D94</f>
        <v>10.581045339326032</v>
      </c>
      <c r="G94">
        <f>(1-G93)*Marriage!B$37+G93*(1-Divorce!B$37)</f>
        <v>0.5812462064690522</v>
      </c>
      <c r="H94">
        <f>(1-H93)*Marriage!C$37+H93*(1-Divorce!C$37)</f>
        <v>0.08926836188791648</v>
      </c>
      <c r="I94">
        <f>'Starting population'!B93*G94</f>
        <v>2.6562708648003146</v>
      </c>
      <c r="J94">
        <f>'Starting population'!C93*H94</f>
        <v>0.9445525845034083</v>
      </c>
      <c r="K94">
        <f t="shared" si="67"/>
        <v>1.9136873306029698</v>
      </c>
      <c r="L94">
        <f t="shared" si="68"/>
        <v>9.636492754822623</v>
      </c>
      <c r="Q94">
        <f>H$5*'Starting population'!B93-M94</f>
        <v>1.5994853683911494</v>
      </c>
      <c r="R94">
        <f>I$5*'Starting population'!C93-N94</f>
        <v>2.645261334831508</v>
      </c>
      <c r="S94">
        <f>(1-H$5)*'Starting population'!B93-O94</f>
        <v>2.9704728270121348</v>
      </c>
      <c r="T94">
        <f>(1-I$5)*'Starting population'!C93-P94</f>
        <v>7.935784004494524</v>
      </c>
      <c r="U94">
        <f t="shared" si="69"/>
        <v>0.9296948026801101</v>
      </c>
      <c r="V94">
        <f t="shared" si="70"/>
        <v>0.23613814612585207</v>
      </c>
      <c r="W94">
        <f t="shared" si="71"/>
        <v>1.7265760621202046</v>
      </c>
      <c r="X94">
        <f t="shared" si="72"/>
        <v>0.7084144383775562</v>
      </c>
      <c r="Y94">
        <f t="shared" si="73"/>
        <v>0.6697905657110393</v>
      </c>
      <c r="Z94">
        <f t="shared" si="74"/>
        <v>2.4091231887056557</v>
      </c>
      <c r="AA94">
        <f t="shared" si="75"/>
        <v>1.2438967648919301</v>
      </c>
      <c r="AB94">
        <f t="shared" si="76"/>
        <v>7.227369566116968</v>
      </c>
    </row>
    <row r="95" spans="2:28" ht="12.75">
      <c r="B95">
        <v>90</v>
      </c>
      <c r="E95">
        <f>'Starting population'!B94-C95</f>
        <v>1.735665313455841</v>
      </c>
      <c r="F95">
        <f>'Starting population'!C94-D95</f>
        <v>4.045890153667322</v>
      </c>
      <c r="G95">
        <f>(1-G94)*Marriage!B$37+G94*(1-Divorce!B$37)</f>
        <v>0.5726725850011385</v>
      </c>
      <c r="H95">
        <f>(1-H94)*Marriage!C$37+H94*(1-Divorce!C$37)</f>
        <v>0.08043049380880243</v>
      </c>
      <c r="I95">
        <f>'Starting population'!B94*G95</f>
        <v>0.9939679417535678</v>
      </c>
      <c r="J95">
        <f>'Starting population'!C94*H95</f>
        <v>0.3254129429556343</v>
      </c>
      <c r="K95">
        <f t="shared" si="67"/>
        <v>0.7416973717022732</v>
      </c>
      <c r="L95">
        <f t="shared" si="68"/>
        <v>3.720477210711688</v>
      </c>
      <c r="Q95">
        <f>H$5*'Starting population'!B94-M95</f>
        <v>0.6074828597095443</v>
      </c>
      <c r="R95">
        <f>I$5*'Starting population'!C94-N95</f>
        <v>1.0114725384168306</v>
      </c>
      <c r="S95">
        <f>(1-H$5)*'Starting population'!B94-O95</f>
        <v>1.1281824537462968</v>
      </c>
      <c r="T95">
        <f>(1-I$5)*'Starting population'!C94-P95</f>
        <v>3.034417615250492</v>
      </c>
      <c r="U95">
        <f t="shared" si="69"/>
        <v>0.3478887796137487</v>
      </c>
      <c r="V95">
        <f t="shared" si="70"/>
        <v>0.08135323573890857</v>
      </c>
      <c r="W95">
        <f t="shared" si="71"/>
        <v>0.6460791621398191</v>
      </c>
      <c r="X95">
        <f t="shared" si="72"/>
        <v>0.2440597072167257</v>
      </c>
      <c r="Y95">
        <f t="shared" si="73"/>
        <v>0.2595940800957956</v>
      </c>
      <c r="Z95">
        <f t="shared" si="74"/>
        <v>0.930119302677922</v>
      </c>
      <c r="AA95">
        <f t="shared" si="75"/>
        <v>0.4821032916064777</v>
      </c>
      <c r="AB95">
        <f t="shared" si="76"/>
        <v>2.790357908033766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4"/>
  <sheetViews>
    <sheetView workbookViewId="0" topLeftCell="A1">
      <selection activeCell="C25" sqref="C25"/>
    </sheetView>
  </sheetViews>
  <sheetFormatPr defaultColWidth="9.140625" defaultRowHeight="12.75"/>
  <sheetData>
    <row r="1" spans="2:3" ht="12.75">
      <c r="B1" t="s">
        <v>20</v>
      </c>
      <c r="C1" t="s">
        <v>21</v>
      </c>
    </row>
    <row r="3" ht="12.75">
      <c r="A3" t="s">
        <v>24</v>
      </c>
    </row>
    <row r="4" spans="1:3" ht="12.75">
      <c r="A4">
        <v>0</v>
      </c>
      <c r="B4" s="12">
        <v>520301.2589640216</v>
      </c>
      <c r="C4" s="12">
        <v>512009.5638202798</v>
      </c>
    </row>
    <row r="5" spans="1:3" ht="12.75">
      <c r="A5">
        <v>1</v>
      </c>
      <c r="B5" s="12">
        <v>503866.399515171</v>
      </c>
      <c r="C5" s="12">
        <v>498778.18432383874</v>
      </c>
    </row>
    <row r="6" spans="1:3" ht="12.75">
      <c r="A6">
        <v>2</v>
      </c>
      <c r="B6" s="12">
        <v>488610.73963981186</v>
      </c>
      <c r="C6" s="12">
        <v>485694.93393922184</v>
      </c>
    </row>
    <row r="7" spans="1:3" ht="12.75">
      <c r="A7">
        <v>3</v>
      </c>
      <c r="B7" s="12">
        <v>471370.7734327165</v>
      </c>
      <c r="C7" s="12">
        <v>470525.37166973855</v>
      </c>
    </row>
    <row r="8" spans="1:3" ht="12.75">
      <c r="A8">
        <v>4</v>
      </c>
      <c r="B8" s="12">
        <v>452217.33465376653</v>
      </c>
      <c r="C8" s="12">
        <v>453267.195411822</v>
      </c>
    </row>
    <row r="9" spans="1:3" ht="12.75">
      <c r="A9">
        <v>5</v>
      </c>
      <c r="B9" s="12">
        <v>434183.0865871714</v>
      </c>
      <c r="C9" s="12">
        <v>436909.43661477714</v>
      </c>
    </row>
    <row r="10" spans="1:3" ht="12.75">
      <c r="A10">
        <v>6</v>
      </c>
      <c r="B10" s="12">
        <v>419448.4948457517</v>
      </c>
      <c r="C10" s="12">
        <v>423441.3757445165</v>
      </c>
    </row>
    <row r="11" spans="1:3" ht="12.75">
      <c r="A11">
        <v>7</v>
      </c>
      <c r="B11" s="12">
        <v>410045.9424849778</v>
      </c>
      <c r="C11" s="12">
        <v>414778.35726676596</v>
      </c>
    </row>
    <row r="12" spans="1:3" ht="12.75">
      <c r="A12">
        <v>8</v>
      </c>
      <c r="B12" s="12">
        <v>404525.7609344113</v>
      </c>
      <c r="C12" s="12">
        <v>409728.5661458131</v>
      </c>
    </row>
    <row r="13" spans="1:3" ht="12.75">
      <c r="A13">
        <v>9</v>
      </c>
      <c r="B13" s="12">
        <v>400460.0207890728</v>
      </c>
      <c r="C13" s="12">
        <v>406234.4760669601</v>
      </c>
    </row>
    <row r="14" spans="1:3" ht="12.75">
      <c r="A14">
        <v>10</v>
      </c>
      <c r="B14" s="12">
        <v>394761.6206089326</v>
      </c>
      <c r="C14" s="12">
        <v>401368.3295713386</v>
      </c>
    </row>
    <row r="15" spans="1:3" ht="12.75">
      <c r="A15">
        <v>11</v>
      </c>
      <c r="B15" s="12">
        <v>386418.2899381768</v>
      </c>
      <c r="C15" s="12">
        <v>393833.19709720835</v>
      </c>
    </row>
    <row r="16" spans="1:3" ht="12.75">
      <c r="A16">
        <v>12</v>
      </c>
      <c r="B16" s="12">
        <v>374425.95465079695</v>
      </c>
      <c r="C16" s="12">
        <v>382509.73985217506</v>
      </c>
    </row>
    <row r="17" spans="1:3" ht="12.75">
      <c r="A17">
        <v>13</v>
      </c>
      <c r="B17" s="12">
        <v>360391.02835356776</v>
      </c>
      <c r="C17" s="12">
        <v>368743.43703151325</v>
      </c>
    </row>
    <row r="18" spans="1:3" ht="12.75">
      <c r="A18">
        <v>14</v>
      </c>
      <c r="B18" s="12">
        <v>346399.5098993608</v>
      </c>
      <c r="C18" s="12">
        <v>354255.0353942311</v>
      </c>
    </row>
    <row r="19" spans="1:3" ht="12.75">
      <c r="A19">
        <v>15</v>
      </c>
      <c r="B19" s="12">
        <v>334789.7171271695</v>
      </c>
      <c r="C19" s="12">
        <v>341606.9082842027</v>
      </c>
    </row>
    <row r="20" spans="1:3" ht="12.75">
      <c r="A20">
        <v>16</v>
      </c>
      <c r="B20" s="12">
        <v>326492.0013628167</v>
      </c>
      <c r="C20" s="12">
        <v>332350.68157592317</v>
      </c>
    </row>
    <row r="21" spans="1:3" ht="12.75">
      <c r="A21">
        <v>17</v>
      </c>
      <c r="B21" s="12">
        <v>322412.9470487274</v>
      </c>
      <c r="C21" s="12">
        <v>327615.61993310304</v>
      </c>
    </row>
    <row r="22" spans="1:3" ht="12.75">
      <c r="A22">
        <v>18</v>
      </c>
      <c r="B22" s="12">
        <v>321103.029242364</v>
      </c>
      <c r="C22" s="12">
        <v>325857.4366046611</v>
      </c>
    </row>
    <row r="23" spans="1:3" ht="12.75">
      <c r="A23">
        <v>19</v>
      </c>
      <c r="B23" s="12">
        <v>320316.891633511</v>
      </c>
      <c r="C23" s="12">
        <v>324864.91030041454</v>
      </c>
    </row>
    <row r="24" spans="1:3" ht="12.75">
      <c r="A24">
        <v>20</v>
      </c>
      <c r="B24" s="12">
        <v>318357.0515621842</v>
      </c>
      <c r="C24" s="12">
        <v>322560.1777312456</v>
      </c>
    </row>
    <row r="25" spans="1:3" ht="12.75">
      <c r="A25">
        <v>21</v>
      </c>
      <c r="B25" s="12">
        <v>315189.9124407186</v>
      </c>
      <c r="C25" s="12">
        <v>318471.98434064834</v>
      </c>
    </row>
    <row r="26" spans="1:3" ht="12.75">
      <c r="A26">
        <v>22</v>
      </c>
      <c r="B26" s="12">
        <v>309996.22476054606</v>
      </c>
      <c r="C26" s="12">
        <v>311662.2551906974</v>
      </c>
    </row>
    <row r="27" spans="1:3" ht="12.75">
      <c r="A27">
        <v>23</v>
      </c>
      <c r="B27" s="12">
        <v>303016.93721397716</v>
      </c>
      <c r="C27" s="12">
        <v>302806.7345021623</v>
      </c>
    </row>
    <row r="28" spans="1:3" ht="12.75">
      <c r="A28">
        <v>24</v>
      </c>
      <c r="B28" s="12">
        <v>295434.9057780658</v>
      </c>
      <c r="C28" s="12">
        <v>293503.59409650904</v>
      </c>
    </row>
    <row r="29" spans="1:3" ht="12.75">
      <c r="A29">
        <v>25</v>
      </c>
      <c r="B29" s="12">
        <v>287543.7904167938</v>
      </c>
      <c r="C29" s="12">
        <v>284548.7962602951</v>
      </c>
    </row>
    <row r="30" spans="1:3" ht="12.75">
      <c r="A30">
        <v>26</v>
      </c>
      <c r="B30" s="12">
        <v>278514.6376869987</v>
      </c>
      <c r="C30" s="12">
        <v>275309.56497384363</v>
      </c>
    </row>
    <row r="31" spans="1:3" ht="12.75">
      <c r="A31">
        <v>27</v>
      </c>
      <c r="B31" s="12">
        <v>268416.0957725967</v>
      </c>
      <c r="C31" s="12">
        <v>265962.04527426936</v>
      </c>
    </row>
    <row r="32" spans="1:3" ht="12.75">
      <c r="A32">
        <v>28</v>
      </c>
      <c r="B32" s="12">
        <v>257712.45197822232</v>
      </c>
      <c r="C32" s="12">
        <v>256552.598077028</v>
      </c>
    </row>
    <row r="33" spans="1:3" ht="12.75">
      <c r="A33">
        <v>29</v>
      </c>
      <c r="B33" s="12">
        <v>246740.15535037415</v>
      </c>
      <c r="C33" s="12">
        <v>246982.4309096087</v>
      </c>
    </row>
    <row r="34" spans="1:3" ht="12.75">
      <c r="A34">
        <v>30</v>
      </c>
      <c r="B34" s="12">
        <v>236035.29661034816</v>
      </c>
      <c r="C34" s="12">
        <v>237300.20705577993</v>
      </c>
    </row>
    <row r="35" spans="1:3" ht="12.75">
      <c r="A35">
        <v>31</v>
      </c>
      <c r="B35" s="12">
        <v>226013.22098504152</v>
      </c>
      <c r="C35" s="12">
        <v>227722.0065313166</v>
      </c>
    </row>
    <row r="36" spans="1:3" ht="12.75">
      <c r="A36">
        <v>32</v>
      </c>
      <c r="B36" s="12">
        <v>216941.4330134162</v>
      </c>
      <c r="C36" s="12">
        <v>218336.6891255309</v>
      </c>
    </row>
    <row r="37" spans="1:3" ht="12.75">
      <c r="A37">
        <v>33</v>
      </c>
      <c r="B37" s="12">
        <v>208533.18611379503</v>
      </c>
      <c r="C37" s="12">
        <v>209137.23184340133</v>
      </c>
    </row>
    <row r="38" spans="1:3" ht="12.75">
      <c r="A38">
        <v>34</v>
      </c>
      <c r="B38" s="12">
        <v>200536.42917794076</v>
      </c>
      <c r="C38" s="12">
        <v>200309.892449842</v>
      </c>
    </row>
    <row r="39" spans="1:3" ht="12.75">
      <c r="A39">
        <v>35</v>
      </c>
      <c r="B39" s="12">
        <v>192394.13387266966</v>
      </c>
      <c r="C39" s="12">
        <v>191645.55152390874</v>
      </c>
    </row>
    <row r="40" spans="1:3" ht="12.75">
      <c r="A40">
        <v>36</v>
      </c>
      <c r="B40" s="12">
        <v>183719.80264090095</v>
      </c>
      <c r="C40" s="12">
        <v>182775.7064526112</v>
      </c>
    </row>
    <row r="41" spans="1:3" ht="12.75">
      <c r="A41">
        <v>37</v>
      </c>
      <c r="B41" s="12">
        <v>174272.42694137507</v>
      </c>
      <c r="C41" s="12">
        <v>173597.86061363498</v>
      </c>
    </row>
    <row r="42" spans="1:3" ht="12.75">
      <c r="A42">
        <v>38</v>
      </c>
      <c r="B42" s="12">
        <v>164509.55310473876</v>
      </c>
      <c r="C42" s="12">
        <v>164498.27294788646</v>
      </c>
    </row>
    <row r="43" spans="1:3" ht="12.75">
      <c r="A43">
        <v>39</v>
      </c>
      <c r="B43" s="12">
        <v>154553.30898535938</v>
      </c>
      <c r="C43" s="12">
        <v>155189.8269090819</v>
      </c>
    </row>
    <row r="44" spans="1:3" ht="12.75">
      <c r="A44">
        <v>40</v>
      </c>
      <c r="B44" s="12">
        <v>145508.78206445067</v>
      </c>
      <c r="C44" s="12">
        <v>146851.60462805856</v>
      </c>
    </row>
    <row r="45" spans="1:3" ht="12.75">
      <c r="A45">
        <v>41</v>
      </c>
      <c r="B45" s="12">
        <v>138633.8052565151</v>
      </c>
      <c r="C45" s="12">
        <v>141247.90907172626</v>
      </c>
    </row>
    <row r="46" spans="1:3" ht="12.75">
      <c r="A46">
        <v>42</v>
      </c>
      <c r="B46" s="12">
        <v>134658.68710061995</v>
      </c>
      <c r="C46" s="12">
        <v>139277.5793440849</v>
      </c>
    </row>
    <row r="47" spans="1:3" ht="12.75">
      <c r="A47">
        <v>43</v>
      </c>
      <c r="B47" s="12">
        <v>132818.29688200814</v>
      </c>
      <c r="C47" s="12">
        <v>139968.9027055929</v>
      </c>
    </row>
    <row r="48" spans="1:3" ht="12.75">
      <c r="A48">
        <v>44</v>
      </c>
      <c r="B48" s="12">
        <v>132130.18995575234</v>
      </c>
      <c r="C48" s="12">
        <v>141955.439869592</v>
      </c>
    </row>
    <row r="49" spans="1:3" ht="12.75">
      <c r="A49">
        <v>45</v>
      </c>
      <c r="B49" s="12">
        <v>131214.24913581906</v>
      </c>
      <c r="C49" s="12">
        <v>143219.50735279746</v>
      </c>
    </row>
    <row r="50" spans="1:3" ht="12.75">
      <c r="A50">
        <v>46</v>
      </c>
      <c r="B50" s="12">
        <v>129051.12256401955</v>
      </c>
      <c r="C50" s="12">
        <v>142873.13896611438</v>
      </c>
    </row>
    <row r="51" spans="1:3" ht="12.75">
      <c r="A51">
        <v>47</v>
      </c>
      <c r="B51" s="12">
        <v>124804.46862858169</v>
      </c>
      <c r="C51" s="12">
        <v>139759.93131995315</v>
      </c>
    </row>
    <row r="52" spans="1:3" ht="12.75">
      <c r="A52">
        <v>48</v>
      </c>
      <c r="B52" s="12">
        <v>119025.83398650898</v>
      </c>
      <c r="C52" s="12">
        <v>134556.0842769944</v>
      </c>
    </row>
    <row r="53" spans="1:3" ht="12.75">
      <c r="A53">
        <v>49</v>
      </c>
      <c r="B53" s="12">
        <v>112854.05900878798</v>
      </c>
      <c r="C53" s="12">
        <v>128732.14530670948</v>
      </c>
    </row>
    <row r="54" spans="1:3" ht="12.75">
      <c r="A54">
        <v>50</v>
      </c>
      <c r="B54" s="12">
        <v>107646.33382696548</v>
      </c>
      <c r="C54" s="12">
        <v>123223.53148081547</v>
      </c>
    </row>
    <row r="55" spans="1:3" ht="12.75">
      <c r="A55">
        <v>51</v>
      </c>
      <c r="B55" s="12">
        <v>103119.48586602358</v>
      </c>
      <c r="C55" s="12">
        <v>118661.00504329086</v>
      </c>
    </row>
    <row r="56" spans="1:3" ht="12.75">
      <c r="A56">
        <v>52</v>
      </c>
      <c r="B56" s="12">
        <v>99743.06274471394</v>
      </c>
      <c r="C56" s="12">
        <v>115467.38997015069</v>
      </c>
    </row>
    <row r="57" spans="1:3" ht="12.75">
      <c r="A57">
        <v>53</v>
      </c>
      <c r="B57" s="12">
        <v>97242.3836880741</v>
      </c>
      <c r="C57" s="12">
        <v>113276.49476537957</v>
      </c>
    </row>
    <row r="58" spans="1:3" ht="12.75">
      <c r="A58">
        <v>54</v>
      </c>
      <c r="B58" s="12">
        <v>95209.60506949355</v>
      </c>
      <c r="C58" s="12">
        <v>111612.38848459782</v>
      </c>
    </row>
    <row r="59" spans="1:3" ht="12.75">
      <c r="A59">
        <v>55</v>
      </c>
      <c r="B59" s="12">
        <v>92923.56277178478</v>
      </c>
      <c r="C59" s="12">
        <v>109478.85338321047</v>
      </c>
    </row>
    <row r="60" spans="1:3" ht="12.75">
      <c r="A60">
        <v>56</v>
      </c>
      <c r="B60" s="12">
        <v>89933.00219997458</v>
      </c>
      <c r="C60" s="12">
        <v>106161.38558406498</v>
      </c>
    </row>
    <row r="61" spans="1:3" ht="12.75">
      <c r="A61">
        <v>57</v>
      </c>
      <c r="B61" s="12">
        <v>85734.52829125396</v>
      </c>
      <c r="C61" s="12">
        <v>100985.01975937156</v>
      </c>
    </row>
    <row r="62" spans="1:3" ht="12.75">
      <c r="A62">
        <v>58</v>
      </c>
      <c r="B62" s="12">
        <v>80595.89316432635</v>
      </c>
      <c r="C62" s="12">
        <v>94401.2150453674</v>
      </c>
    </row>
    <row r="63" spans="1:3" ht="12.75">
      <c r="A63">
        <v>59</v>
      </c>
      <c r="B63" s="12">
        <v>74811.91847521468</v>
      </c>
      <c r="C63" s="12">
        <v>86876.34682608767</v>
      </c>
    </row>
    <row r="64" spans="1:3" ht="12.75">
      <c r="A64">
        <v>60</v>
      </c>
      <c r="B64" s="12">
        <v>69319.61232177421</v>
      </c>
      <c r="C64" s="12">
        <v>79772.39659445305</v>
      </c>
    </row>
    <row r="65" spans="1:3" ht="12.75">
      <c r="A65">
        <v>61</v>
      </c>
      <c r="B65" s="12">
        <v>64983.54670346205</v>
      </c>
      <c r="C65" s="12">
        <v>74341.72019249623</v>
      </c>
    </row>
    <row r="66" spans="1:3" ht="12.75">
      <c r="A66">
        <v>62</v>
      </c>
      <c r="B66" s="12">
        <v>62657.586912354745</v>
      </c>
      <c r="C66" s="12">
        <v>71737.08490248557</v>
      </c>
    </row>
    <row r="67" spans="1:3" ht="12.75">
      <c r="A67">
        <v>63</v>
      </c>
      <c r="B67" s="12">
        <v>62020.60844765401</v>
      </c>
      <c r="C67" s="12">
        <v>71439.78388198762</v>
      </c>
    </row>
    <row r="68" spans="1:3" ht="12.75">
      <c r="A68">
        <v>64</v>
      </c>
      <c r="B68" s="12">
        <v>62154.81833957628</v>
      </c>
      <c r="C68" s="12">
        <v>72141.65021378473</v>
      </c>
    </row>
    <row r="69" spans="1:3" ht="12.75">
      <c r="A69">
        <v>65</v>
      </c>
      <c r="B69" s="12">
        <v>62009.58504449299</v>
      </c>
      <c r="C69" s="12">
        <v>72458.46099821213</v>
      </c>
    </row>
    <row r="70" spans="1:3" ht="12.75">
      <c r="A70">
        <v>66</v>
      </c>
      <c r="B70" s="12">
        <v>60663.58216032022</v>
      </c>
      <c r="C70" s="12">
        <v>71261.96479570714</v>
      </c>
    </row>
    <row r="71" spans="1:3" ht="12.75">
      <c r="A71">
        <v>67</v>
      </c>
      <c r="B71" s="12">
        <v>57522.26222631359</v>
      </c>
      <c r="C71" s="12">
        <v>67892.99684526646</v>
      </c>
    </row>
    <row r="72" spans="1:3" ht="12.75">
      <c r="A72">
        <v>68</v>
      </c>
      <c r="B72" s="12">
        <v>54558.49458194561</v>
      </c>
      <c r="C72" s="12">
        <v>64831.51898923812</v>
      </c>
    </row>
    <row r="73" spans="1:3" ht="12.75">
      <c r="A73">
        <v>69</v>
      </c>
      <c r="B73" s="12">
        <v>51358.80537434257</v>
      </c>
      <c r="C73" s="12">
        <v>61999.297828480085</v>
      </c>
    </row>
    <row r="74" spans="1:3" ht="12.75">
      <c r="A74">
        <v>70</v>
      </c>
      <c r="B74" s="12">
        <v>46571.51609002122</v>
      </c>
      <c r="C74" s="12">
        <v>56881.02346311644</v>
      </c>
    </row>
    <row r="75" spans="1:3" ht="12.75">
      <c r="A75">
        <v>71</v>
      </c>
      <c r="B75" s="12">
        <v>42130.89942957198</v>
      </c>
      <c r="C75" s="12">
        <v>51530.81907416682</v>
      </c>
    </row>
    <row r="76" spans="1:3" ht="12.75">
      <c r="A76">
        <v>72</v>
      </c>
      <c r="B76" s="12">
        <v>37888.38300739153</v>
      </c>
      <c r="C76" s="12">
        <v>46475.244236949206</v>
      </c>
    </row>
    <row r="77" spans="1:3" ht="12.75">
      <c r="A77">
        <v>73</v>
      </c>
      <c r="B77" s="12">
        <v>33855.07281083051</v>
      </c>
      <c r="C77" s="12">
        <v>41613.78900008856</v>
      </c>
    </row>
    <row r="78" spans="1:3" ht="12.75">
      <c r="A78">
        <v>74</v>
      </c>
      <c r="B78" s="12">
        <v>25482.981837227515</v>
      </c>
      <c r="C78" s="12">
        <v>32152.965015637143</v>
      </c>
    </row>
    <row r="79" spans="1:3" ht="12.75">
      <c r="A79">
        <v>75</v>
      </c>
      <c r="B79" s="12">
        <v>18554.577388484788</v>
      </c>
      <c r="C79" s="12">
        <v>24232.0045390043</v>
      </c>
    </row>
    <row r="80" spans="1:3" ht="12.75">
      <c r="A80">
        <v>76</v>
      </c>
      <c r="B80" s="12">
        <v>13146.75229786782</v>
      </c>
      <c r="C80" s="12">
        <v>17846.573888809486</v>
      </c>
    </row>
    <row r="81" spans="1:3" ht="12.75">
      <c r="A81">
        <v>77</v>
      </c>
      <c r="B81" s="12">
        <v>9047.661083895115</v>
      </c>
      <c r="C81" s="12">
        <v>12817.72193118961</v>
      </c>
    </row>
    <row r="82" spans="1:3" ht="12.75">
      <c r="A82">
        <v>78</v>
      </c>
      <c r="B82" s="12">
        <v>6036.1143125486415</v>
      </c>
      <c r="C82" s="12">
        <v>8956.436391001454</v>
      </c>
    </row>
    <row r="83" spans="1:3" ht="12.75">
      <c r="A83">
        <v>79</v>
      </c>
      <c r="B83" s="12">
        <v>3895.854882347898</v>
      </c>
      <c r="C83" s="12">
        <v>6072.525963547648</v>
      </c>
    </row>
    <row r="84" spans="1:3" ht="12.75">
      <c r="A84">
        <v>80</v>
      </c>
      <c r="B84" s="12">
        <v>2427.448445757167</v>
      </c>
      <c r="C84" s="12">
        <v>3982.9215189906536</v>
      </c>
    </row>
    <row r="85" spans="1:3" ht="12.75">
      <c r="A85">
        <v>81</v>
      </c>
      <c r="B85" s="12">
        <v>1456.854218796484</v>
      </c>
      <c r="C85" s="12">
        <v>2518.5846194612136</v>
      </c>
    </row>
    <row r="86" spans="1:3" ht="12.75">
      <c r="A86">
        <v>82</v>
      </c>
      <c r="B86" s="12">
        <v>840.107401605812</v>
      </c>
      <c r="C86" s="12">
        <v>1529.647417125586</v>
      </c>
    </row>
    <row r="87" spans="1:3" ht="12.75">
      <c r="A87">
        <v>83</v>
      </c>
      <c r="B87" s="12">
        <v>464.2331650077659</v>
      </c>
      <c r="C87" s="12">
        <v>888.6072033521842</v>
      </c>
    </row>
    <row r="88" spans="1:3" ht="12.75">
      <c r="A88">
        <v>84</v>
      </c>
      <c r="B88" s="12">
        <v>245.09761529626118</v>
      </c>
      <c r="C88" s="12">
        <v>491.5836977120869</v>
      </c>
    </row>
    <row r="89" spans="1:3" ht="12.75">
      <c r="A89">
        <v>85</v>
      </c>
      <c r="B89" s="12">
        <v>123.24650060776679</v>
      </c>
      <c r="C89" s="12">
        <v>257.80383409262015</v>
      </c>
    </row>
    <row r="90" spans="1:3" ht="12.75">
      <c r="A90">
        <v>86</v>
      </c>
      <c r="B90" s="12">
        <v>58.83797574372215</v>
      </c>
      <c r="C90" s="12">
        <v>127.60885079382999</v>
      </c>
    </row>
    <row r="91" spans="1:3" ht="12.75">
      <c r="A91">
        <v>87</v>
      </c>
      <c r="B91" s="12">
        <v>26.590013533891963</v>
      </c>
      <c r="C91" s="12">
        <v>59.38645068365235</v>
      </c>
    </row>
    <row r="92" spans="1:3" ht="12.75">
      <c r="A92">
        <v>88</v>
      </c>
      <c r="B92" s="12">
        <v>11.349550893360092</v>
      </c>
      <c r="C92" s="12">
        <v>25.90884900799423</v>
      </c>
    </row>
    <row r="93" spans="1:3" ht="12.75">
      <c r="A93">
        <v>89</v>
      </c>
      <c r="B93" s="12">
        <v>4.569958195403284</v>
      </c>
      <c r="C93" s="12">
        <v>10.581045339326032</v>
      </c>
    </row>
    <row r="94" spans="1:3" ht="12.75">
      <c r="A94">
        <v>90</v>
      </c>
      <c r="B94" s="12">
        <v>1.735665313455841</v>
      </c>
      <c r="C94" s="12">
        <v>4.045890153667322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65"/>
  <sheetViews>
    <sheetView workbookViewId="0" topLeftCell="A1">
      <selection activeCell="S9" sqref="S9"/>
    </sheetView>
  </sheetViews>
  <sheetFormatPr defaultColWidth="9.140625" defaultRowHeight="12.75"/>
  <sheetData>
    <row r="1" spans="2:42" ht="12.75">
      <c r="B1">
        <v>1985</v>
      </c>
      <c r="C1">
        <v>1986</v>
      </c>
      <c r="D1">
        <v>1987</v>
      </c>
      <c r="E1">
        <v>1988</v>
      </c>
      <c r="F1">
        <v>1989</v>
      </c>
      <c r="G1">
        <v>1990</v>
      </c>
      <c r="H1">
        <v>1991</v>
      </c>
      <c r="I1">
        <v>1992</v>
      </c>
      <c r="J1">
        <v>1993</v>
      </c>
      <c r="K1">
        <v>1994</v>
      </c>
      <c r="L1">
        <v>1995</v>
      </c>
      <c r="M1">
        <v>1996</v>
      </c>
      <c r="N1">
        <v>1997</v>
      </c>
      <c r="O1">
        <v>1998</v>
      </c>
      <c r="P1">
        <v>1999</v>
      </c>
      <c r="Q1">
        <v>2000</v>
      </c>
      <c r="R1">
        <v>2001</v>
      </c>
      <c r="S1">
        <v>2002</v>
      </c>
      <c r="T1">
        <v>2003</v>
      </c>
      <c r="U1">
        <v>2004</v>
      </c>
      <c r="V1">
        <v>2005</v>
      </c>
      <c r="W1">
        <v>2006</v>
      </c>
      <c r="X1">
        <v>2007</v>
      </c>
      <c r="Y1">
        <v>2008</v>
      </c>
      <c r="Z1">
        <v>2009</v>
      </c>
      <c r="AA1">
        <v>2010</v>
      </c>
      <c r="AB1">
        <v>2011</v>
      </c>
      <c r="AC1">
        <v>2012</v>
      </c>
      <c r="AD1">
        <v>2013</v>
      </c>
      <c r="AE1">
        <v>2014</v>
      </c>
      <c r="AF1">
        <v>2015</v>
      </c>
      <c r="AG1">
        <v>2016</v>
      </c>
      <c r="AH1">
        <v>2017</v>
      </c>
      <c r="AI1">
        <v>2018</v>
      </c>
      <c r="AJ1">
        <v>2019</v>
      </c>
      <c r="AK1">
        <v>2020</v>
      </c>
      <c r="AL1">
        <v>2021</v>
      </c>
      <c r="AM1">
        <v>2022</v>
      </c>
      <c r="AN1">
        <v>2023</v>
      </c>
      <c r="AO1">
        <v>2024</v>
      </c>
      <c r="AP1">
        <v>2025</v>
      </c>
    </row>
    <row r="3" ht="12.75">
      <c r="A3" t="s">
        <v>16</v>
      </c>
    </row>
    <row r="4" spans="1:42" ht="12.75">
      <c r="A4" t="s">
        <v>0</v>
      </c>
      <c r="B4">
        <v>0.000936672654934524</v>
      </c>
      <c r="C4">
        <v>0.000949613611372388</v>
      </c>
      <c r="D4">
        <v>0.000948507190559774</v>
      </c>
      <c r="E4">
        <v>0.000956080408057913</v>
      </c>
      <c r="F4">
        <v>0.000924815816534929</v>
      </c>
      <c r="G4">
        <v>0.000964945620388407</v>
      </c>
      <c r="H4">
        <v>0.000964779446903439</v>
      </c>
      <c r="I4">
        <v>0.000957920872032993</v>
      </c>
      <c r="J4">
        <v>0.000954051815523029</v>
      </c>
      <c r="K4">
        <v>0.000952815739227739</v>
      </c>
      <c r="L4">
        <v>0.000950415678526496</v>
      </c>
      <c r="M4">
        <v>0.000955955232930919</v>
      </c>
      <c r="N4">
        <v>0.000913172137246594</v>
      </c>
      <c r="O4">
        <v>0.000939102945787388</v>
      </c>
      <c r="P4">
        <v>0.000938502253711476</v>
      </c>
      <c r="Q4">
        <v>0.0009592940937744</v>
      </c>
      <c r="R4">
        <v>0.000931168516134928</v>
      </c>
      <c r="S4">
        <v>0.000922355685360737</v>
      </c>
      <c r="T4">
        <v>0.000913168777805243</v>
      </c>
      <c r="U4">
        <v>0.000903612540964654</v>
      </c>
      <c r="V4">
        <v>0.000893727972509454</v>
      </c>
      <c r="W4">
        <v>0.000883525688575182</v>
      </c>
      <c r="X4">
        <v>0.000870418798636068</v>
      </c>
      <c r="Y4">
        <v>0.000859960028332551</v>
      </c>
      <c r="Z4">
        <v>0.000852560960019918</v>
      </c>
      <c r="AA4">
        <v>0.0008479002876261</v>
      </c>
      <c r="AB4">
        <v>0.000844331597645111</v>
      </c>
      <c r="AC4">
        <v>0.000835388731179131</v>
      </c>
      <c r="AD4">
        <v>0.000825943168504938</v>
      </c>
      <c r="AE4">
        <v>0.000816510605097782</v>
      </c>
      <c r="AF4">
        <v>0.000807603965210823</v>
      </c>
      <c r="AG4">
        <v>0.000799849025987597</v>
      </c>
      <c r="AH4">
        <v>0.000792719214281383</v>
      </c>
      <c r="AI4">
        <v>0.00078555047772023</v>
      </c>
      <c r="AJ4">
        <v>0.000778344761938262</v>
      </c>
      <c r="AK4">
        <v>0.000770865681085681</v>
      </c>
      <c r="AL4">
        <v>0.000763245706550655</v>
      </c>
      <c r="AM4">
        <v>0.000755734425428488</v>
      </c>
      <c r="AN4">
        <v>0.0007483058558965</v>
      </c>
      <c r="AO4">
        <v>0.000740942211428374</v>
      </c>
      <c r="AP4">
        <v>0.000733650337550039</v>
      </c>
    </row>
    <row r="5" spans="1:42" ht="12.75">
      <c r="A5" t="s">
        <v>1</v>
      </c>
      <c r="B5">
        <v>0.00258331410278543</v>
      </c>
      <c r="C5">
        <v>0.00256854783012389</v>
      </c>
      <c r="D5">
        <v>0.00256356404660183</v>
      </c>
      <c r="E5">
        <v>0.00256577150065952</v>
      </c>
      <c r="F5">
        <v>0.0024748817016984</v>
      </c>
      <c r="G5">
        <v>0.0025757679588647</v>
      </c>
      <c r="H5">
        <v>0.0025785823721675</v>
      </c>
      <c r="I5">
        <v>0.00256209733894054</v>
      </c>
      <c r="J5">
        <v>0.00254519623062725</v>
      </c>
      <c r="K5">
        <v>0.0025358353226308</v>
      </c>
      <c r="L5">
        <v>0.00251759299268617</v>
      </c>
      <c r="M5">
        <v>0.00249666364537039</v>
      </c>
      <c r="N5">
        <v>0.00214219214141079</v>
      </c>
      <c r="O5">
        <v>0.00233185528682954</v>
      </c>
      <c r="P5">
        <v>0.00237712849764885</v>
      </c>
      <c r="Q5">
        <v>0.00238068147641094</v>
      </c>
      <c r="R5">
        <v>0.00236913075123855</v>
      </c>
      <c r="S5">
        <v>0.00235486373496907</v>
      </c>
      <c r="T5">
        <v>0.00233781360119663</v>
      </c>
      <c r="U5">
        <v>0.00231829691883417</v>
      </c>
      <c r="V5">
        <v>0.00229795421179074</v>
      </c>
      <c r="W5">
        <v>0.00227860711851163</v>
      </c>
      <c r="X5">
        <v>0.00225936054669479</v>
      </c>
      <c r="Y5">
        <v>0.00223943464555659</v>
      </c>
      <c r="Z5">
        <v>0.00221886198779782</v>
      </c>
      <c r="AA5">
        <v>0.00219771677355107</v>
      </c>
      <c r="AB5">
        <v>0.00217603570321164</v>
      </c>
      <c r="AC5">
        <v>0.0021486759949684</v>
      </c>
      <c r="AD5">
        <v>0.0021273099961381</v>
      </c>
      <c r="AE5">
        <v>0.00211128793364802</v>
      </c>
      <c r="AF5">
        <v>0.00209940934634673</v>
      </c>
      <c r="AG5">
        <v>0.00209068032774189</v>
      </c>
      <c r="AH5">
        <v>0.00207137147810166</v>
      </c>
      <c r="AI5">
        <v>0.00205093734798514</v>
      </c>
      <c r="AJ5">
        <v>0.00203058586910788</v>
      </c>
      <c r="AK5">
        <v>0.00201110291226211</v>
      </c>
      <c r="AL5">
        <v>0.00199382127538741</v>
      </c>
      <c r="AM5">
        <v>0.00197791598279386</v>
      </c>
      <c r="AN5">
        <v>0.00196192346336811</v>
      </c>
      <c r="AO5">
        <v>0.00194587793290176</v>
      </c>
      <c r="AP5">
        <v>0.00192931167025244</v>
      </c>
    </row>
    <row r="6" spans="1:42" ht="12.75">
      <c r="A6" t="s">
        <v>2</v>
      </c>
      <c r="B6">
        <v>0.00446671048157989</v>
      </c>
      <c r="C6">
        <v>0.00449335011191137</v>
      </c>
      <c r="D6">
        <v>0.00453221948452883</v>
      </c>
      <c r="E6">
        <v>0.00457828923844507</v>
      </c>
      <c r="F6">
        <v>0.00446696311288132</v>
      </c>
      <c r="G6">
        <v>0.00467026086559783</v>
      </c>
      <c r="H6">
        <v>0.00471457509262874</v>
      </c>
      <c r="I6">
        <v>0.00472128295495905</v>
      </c>
      <c r="J6">
        <v>0.00474314449121417</v>
      </c>
      <c r="K6">
        <v>0.00478554562834071</v>
      </c>
      <c r="L6">
        <v>0.00483083606533983</v>
      </c>
      <c r="M6">
        <v>0.00487905839216765</v>
      </c>
      <c r="N6">
        <v>0.00490765957642043</v>
      </c>
      <c r="O6">
        <v>0.00501098545321911</v>
      </c>
      <c r="P6">
        <v>0.00481070632173286</v>
      </c>
      <c r="Q6">
        <v>0.00469014779654769</v>
      </c>
      <c r="R6">
        <v>0.00464356534204874</v>
      </c>
      <c r="S6">
        <v>0.0046046540410068</v>
      </c>
      <c r="T6">
        <v>0.00456901098150341</v>
      </c>
      <c r="U6">
        <v>0.00453732519387081</v>
      </c>
      <c r="V6">
        <v>0.00450897461994485</v>
      </c>
      <c r="W6">
        <v>0.00448236903881025</v>
      </c>
      <c r="X6">
        <v>0.00445452037282047</v>
      </c>
      <c r="Y6">
        <v>0.00442461803624477</v>
      </c>
      <c r="Z6">
        <v>0.00439330053175453</v>
      </c>
      <c r="AA6">
        <v>0.00436178876906425</v>
      </c>
      <c r="AB6">
        <v>0.00433105104885676</v>
      </c>
      <c r="AC6">
        <v>0.00430038312616016</v>
      </c>
      <c r="AD6">
        <v>0.00426926978142825</v>
      </c>
      <c r="AE6">
        <v>0.00423777326348199</v>
      </c>
      <c r="AF6">
        <v>0.00420593616564396</v>
      </c>
      <c r="AG6">
        <v>0.00417374828271268</v>
      </c>
      <c r="AH6">
        <v>0.00413610142090511</v>
      </c>
      <c r="AI6">
        <v>0.00410574349451539</v>
      </c>
      <c r="AJ6">
        <v>0.00407975747389648</v>
      </c>
      <c r="AK6">
        <v>0.0040562652359306</v>
      </c>
      <c r="AL6">
        <v>0.00403350711299154</v>
      </c>
      <c r="AM6">
        <v>0.00400358174848538</v>
      </c>
      <c r="AN6">
        <v>0.00397277266906158</v>
      </c>
      <c r="AO6">
        <v>0.00394244704632542</v>
      </c>
      <c r="AP6">
        <v>0.00391309370335677</v>
      </c>
    </row>
    <row r="7" spans="1:42" ht="12.75">
      <c r="A7" t="s">
        <v>3</v>
      </c>
      <c r="B7">
        <v>0.00541418983905206</v>
      </c>
      <c r="C7">
        <v>0.00548710190625453</v>
      </c>
      <c r="D7">
        <v>0.00557589542947286</v>
      </c>
      <c r="E7">
        <v>0.0056765440830143</v>
      </c>
      <c r="F7">
        <v>0.0055992990826046</v>
      </c>
      <c r="G7">
        <v>0.00589376208127669</v>
      </c>
      <c r="H7">
        <v>0.00600656608702602</v>
      </c>
      <c r="I7">
        <v>0.00607693275022847</v>
      </c>
      <c r="J7">
        <v>0.00615551883195125</v>
      </c>
      <c r="K7">
        <v>0.00623071597920164</v>
      </c>
      <c r="L7">
        <v>0.00631091306104746</v>
      </c>
      <c r="M7">
        <v>0.00639983924622286</v>
      </c>
      <c r="N7">
        <v>0.00662947661513074</v>
      </c>
      <c r="O7">
        <v>0.00683711772051583</v>
      </c>
      <c r="P7">
        <v>0.00641673463019565</v>
      </c>
      <c r="Q7">
        <v>0.00578793497241402</v>
      </c>
      <c r="R7">
        <v>0.00560518470193764</v>
      </c>
      <c r="S7">
        <v>0.00556479820912538</v>
      </c>
      <c r="T7">
        <v>0.00552419210126062</v>
      </c>
      <c r="U7">
        <v>0.00548313826374389</v>
      </c>
      <c r="V7">
        <v>0.00544170597319653</v>
      </c>
      <c r="W7">
        <v>0.00540029269806283</v>
      </c>
      <c r="X7">
        <v>0.00535943186318365</v>
      </c>
      <c r="Y7">
        <v>0.00531956320230683</v>
      </c>
      <c r="Z7">
        <v>0.00528080906262971</v>
      </c>
      <c r="AA7">
        <v>0.0052430007234423</v>
      </c>
      <c r="AB7">
        <v>0.00520577704162626</v>
      </c>
      <c r="AC7">
        <v>0.00516850919775975</v>
      </c>
      <c r="AD7">
        <v>0.00513107971450692</v>
      </c>
      <c r="AE7">
        <v>0.00509361100892864</v>
      </c>
      <c r="AF7">
        <v>0.0050563158848738</v>
      </c>
      <c r="AG7">
        <v>0.005019418291767</v>
      </c>
      <c r="AH7">
        <v>0.00498278395507533</v>
      </c>
      <c r="AI7">
        <v>0.00494631197731884</v>
      </c>
      <c r="AJ7">
        <v>0.00491001858298635</v>
      </c>
      <c r="AK7">
        <v>0.00487391023445087</v>
      </c>
      <c r="AL7">
        <v>0.00483798953397685</v>
      </c>
      <c r="AM7">
        <v>0.00480129406662728</v>
      </c>
      <c r="AN7">
        <v>0.0047664404814427</v>
      </c>
      <c r="AO7">
        <v>0.004732298672553</v>
      </c>
      <c r="AP7">
        <v>0.00469860537095801</v>
      </c>
    </row>
    <row r="8" spans="1:42" ht="12.75">
      <c r="A8" t="s">
        <v>4</v>
      </c>
      <c r="B8">
        <v>0.00584886350475887</v>
      </c>
      <c r="C8">
        <v>0.00594942395668574</v>
      </c>
      <c r="D8">
        <v>0.00606223908515946</v>
      </c>
      <c r="E8">
        <v>0.00618247514534191</v>
      </c>
      <c r="F8">
        <v>0.00612581972036551</v>
      </c>
      <c r="G8">
        <v>0.00643087149662816</v>
      </c>
      <c r="H8">
        <v>0.0065629306517423</v>
      </c>
      <c r="I8">
        <v>0.0066679907348414</v>
      </c>
      <c r="J8">
        <v>0.00679023418954231</v>
      </c>
      <c r="K8">
        <v>0.00691228277847095</v>
      </c>
      <c r="L8">
        <v>0.00703651784756932</v>
      </c>
      <c r="M8">
        <v>0.00715831035672489</v>
      </c>
      <c r="N8">
        <v>0.00734167207720354</v>
      </c>
      <c r="O8">
        <v>0.00766640414037616</v>
      </c>
      <c r="P8">
        <v>0.00727976907273698</v>
      </c>
      <c r="Q8">
        <v>0.00630536888522607</v>
      </c>
      <c r="R8">
        <v>0.00601017418801462</v>
      </c>
      <c r="S8">
        <v>0.0059514509614879</v>
      </c>
      <c r="T8">
        <v>0.00589405226890468</v>
      </c>
      <c r="U8">
        <v>0.0058382495016095</v>
      </c>
      <c r="V8">
        <v>0.00578388332891363</v>
      </c>
      <c r="W8">
        <v>0.00573056408300839</v>
      </c>
      <c r="X8">
        <v>0.00567774988591072</v>
      </c>
      <c r="Y8">
        <v>0.00562495564427011</v>
      </c>
      <c r="Z8">
        <v>0.00557191415605373</v>
      </c>
      <c r="AA8">
        <v>0.00551869693978218</v>
      </c>
      <c r="AB8">
        <v>0.00546562578387083</v>
      </c>
      <c r="AC8">
        <v>0.00541325633745921</v>
      </c>
      <c r="AD8">
        <v>0.00536203508161438</v>
      </c>
      <c r="AE8">
        <v>0.00531213146299154</v>
      </c>
      <c r="AF8">
        <v>0.00526336382522856</v>
      </c>
      <c r="AG8">
        <v>0.00521543135498418</v>
      </c>
      <c r="AH8">
        <v>0.00516785334131064</v>
      </c>
      <c r="AI8">
        <v>0.00512033833493083</v>
      </c>
      <c r="AJ8">
        <v>0.00507283697906095</v>
      </c>
      <c r="AK8">
        <v>0.00502561859051673</v>
      </c>
      <c r="AL8">
        <v>0.0049790267025058</v>
      </c>
      <c r="AM8">
        <v>0.0049329303474243</v>
      </c>
      <c r="AN8">
        <v>0.0048872194705474</v>
      </c>
      <c r="AO8">
        <v>0.0048418928006922</v>
      </c>
      <c r="AP8">
        <v>0.00479697315395984</v>
      </c>
    </row>
    <row r="9" spans="1:42" ht="12.75">
      <c r="A9" t="s">
        <v>5</v>
      </c>
      <c r="B9">
        <v>0.00674274746244713</v>
      </c>
      <c r="C9">
        <v>0.00684728196258576</v>
      </c>
      <c r="D9">
        <v>0.006962077609097</v>
      </c>
      <c r="E9">
        <v>0.00708285184697382</v>
      </c>
      <c r="F9">
        <v>0.00703050786555252</v>
      </c>
      <c r="G9">
        <v>0.00732424466739352</v>
      </c>
      <c r="H9">
        <v>0.00744580285927758</v>
      </c>
      <c r="I9">
        <v>0.00753747052863073</v>
      </c>
      <c r="J9">
        <v>0.00764041473252535</v>
      </c>
      <c r="K9">
        <v>0.00774265357773496</v>
      </c>
      <c r="L9">
        <v>0.00784743476059757</v>
      </c>
      <c r="M9">
        <v>0.00795499634808311</v>
      </c>
      <c r="N9">
        <v>0.00846655054323659</v>
      </c>
      <c r="O9">
        <v>0.00860084389544943</v>
      </c>
      <c r="P9">
        <v>0.00831092356167039</v>
      </c>
      <c r="Q9">
        <v>0.00720974905795539</v>
      </c>
      <c r="R9">
        <v>0.00704673329791576</v>
      </c>
      <c r="S9">
        <v>0.00697214483903608</v>
      </c>
      <c r="T9">
        <v>0.00689749118869817</v>
      </c>
      <c r="U9">
        <v>0.00682187545286407</v>
      </c>
      <c r="V9">
        <v>0.0067449537392741</v>
      </c>
      <c r="W9">
        <v>0.00666737477771376</v>
      </c>
      <c r="X9">
        <v>0.00659076824604607</v>
      </c>
      <c r="Y9">
        <v>0.00651686317178224</v>
      </c>
      <c r="Z9">
        <v>0.00644643212268167</v>
      </c>
      <c r="AA9">
        <v>0.00637917646669713</v>
      </c>
      <c r="AB9">
        <v>0.00631401857021693</v>
      </c>
      <c r="AC9">
        <v>0.00624951359043435</v>
      </c>
      <c r="AD9">
        <v>0.006184235932164</v>
      </c>
      <c r="AE9">
        <v>0.00611735222431152</v>
      </c>
      <c r="AF9">
        <v>0.00604897046962935</v>
      </c>
      <c r="AG9">
        <v>0.00598019840756606</v>
      </c>
      <c r="AH9">
        <v>0.00591282493894313</v>
      </c>
      <c r="AI9">
        <v>0.00584836848406312</v>
      </c>
      <c r="AJ9">
        <v>0.00578739861490438</v>
      </c>
      <c r="AK9">
        <v>0.00572943173039787</v>
      </c>
      <c r="AL9">
        <v>0.00567339431290275</v>
      </c>
      <c r="AM9">
        <v>0.00561719600899394</v>
      </c>
      <c r="AN9">
        <v>0.00556004656046043</v>
      </c>
      <c r="AO9">
        <v>0.00550218196706655</v>
      </c>
      <c r="AP9">
        <v>0.00544452316613575</v>
      </c>
    </row>
    <row r="10" spans="1:42" ht="12.75">
      <c r="A10" t="s">
        <v>6</v>
      </c>
      <c r="B10">
        <v>0.008747229684478</v>
      </c>
      <c r="C10">
        <v>0.00880621359177661</v>
      </c>
      <c r="D10">
        <v>0.00889682380545472</v>
      </c>
      <c r="E10">
        <v>0.00901823032175236</v>
      </c>
      <c r="F10">
        <v>0.00898026486713325</v>
      </c>
      <c r="G10">
        <v>0.00932076269584661</v>
      </c>
      <c r="H10">
        <v>0.00948328217308487</v>
      </c>
      <c r="I10">
        <v>0.00961793402191215</v>
      </c>
      <c r="J10">
        <v>0.00976247954735208</v>
      </c>
      <c r="K10">
        <v>0.00990687832795588</v>
      </c>
      <c r="L10">
        <v>0.0100488526471668</v>
      </c>
      <c r="M10">
        <v>0.010189157308471</v>
      </c>
      <c r="N10">
        <v>0.0107040573398448</v>
      </c>
      <c r="O10">
        <v>0.0107792096688589</v>
      </c>
      <c r="P10">
        <v>0.0103079591977486</v>
      </c>
      <c r="Q10">
        <v>0.00904874038857962</v>
      </c>
      <c r="R10">
        <v>0.00901515064931438</v>
      </c>
      <c r="S10">
        <v>0.00891957791985688</v>
      </c>
      <c r="T10">
        <v>0.00882409141026379</v>
      </c>
      <c r="U10">
        <v>0.00872935924241926</v>
      </c>
      <c r="V10">
        <v>0.00863630027823652</v>
      </c>
      <c r="W10">
        <v>0.00854513694848105</v>
      </c>
      <c r="X10">
        <v>0.00845526994176197</v>
      </c>
      <c r="Y10">
        <v>0.00836509938169091</v>
      </c>
      <c r="Z10">
        <v>0.00827317547279221</v>
      </c>
      <c r="AA10">
        <v>0.00817889247015864</v>
      </c>
      <c r="AB10">
        <v>0.00808325071709228</v>
      </c>
      <c r="AC10">
        <v>0.00798884864714781</v>
      </c>
      <c r="AD10">
        <v>0.0078984850175563</v>
      </c>
      <c r="AE10">
        <v>0.0078134452084243</v>
      </c>
      <c r="AF10">
        <v>0.00773328607306217</v>
      </c>
      <c r="AG10">
        <v>0.00765626100498551</v>
      </c>
      <c r="AH10">
        <v>0.00758000627326826</v>
      </c>
      <c r="AI10">
        <v>0.0075021005089127</v>
      </c>
      <c r="AJ10">
        <v>0.00742111447122441</v>
      </c>
      <c r="AK10">
        <v>0.00733718406458907</v>
      </c>
      <c r="AL10">
        <v>0.00725216623905866</v>
      </c>
      <c r="AM10">
        <v>0.00716911028242154</v>
      </c>
      <c r="AN10">
        <v>0.00709064783952219</v>
      </c>
      <c r="AO10">
        <v>0.00701782148773988</v>
      </c>
      <c r="AP10">
        <v>0.00694986947961302</v>
      </c>
    </row>
    <row r="11" spans="1:42" ht="12.75">
      <c r="A11" t="s">
        <v>7</v>
      </c>
      <c r="B11">
        <v>0.0123181876967511</v>
      </c>
      <c r="C11">
        <v>0.0124458474512518</v>
      </c>
      <c r="D11">
        <v>0.0125660991449776</v>
      </c>
      <c r="E11">
        <v>0.0126590103962293</v>
      </c>
      <c r="F11">
        <v>0.0125133212279263</v>
      </c>
      <c r="G11">
        <v>0.0127745947585023</v>
      </c>
      <c r="H11">
        <v>0.0128400800286771</v>
      </c>
      <c r="I11">
        <v>0.0129122152816337</v>
      </c>
      <c r="J11">
        <v>0.0130376532114533</v>
      </c>
      <c r="K11">
        <v>0.0131989339633422</v>
      </c>
      <c r="L11">
        <v>0.013374658576193</v>
      </c>
      <c r="M11">
        <v>0.0135530490077591</v>
      </c>
      <c r="N11">
        <v>0.014222090344985</v>
      </c>
      <c r="O11">
        <v>0.0145196132682011</v>
      </c>
      <c r="P11">
        <v>0.014180565784605</v>
      </c>
      <c r="Q11">
        <v>0.0128269139596595</v>
      </c>
      <c r="R11">
        <v>0.0123771971082833</v>
      </c>
      <c r="S11">
        <v>0.0122529318078406</v>
      </c>
      <c r="T11">
        <v>0.012132733536826</v>
      </c>
      <c r="U11">
        <v>0.0120169091358056</v>
      </c>
      <c r="V11">
        <v>0.0119045809203914</v>
      </c>
      <c r="W11">
        <v>0.0117943334494001</v>
      </c>
      <c r="X11">
        <v>0.0116839624285508</v>
      </c>
      <c r="Y11">
        <v>0.0115727878963018</v>
      </c>
      <c r="Z11">
        <v>0.011462109836539</v>
      </c>
      <c r="AA11">
        <v>0.0113537056451621</v>
      </c>
      <c r="AB11">
        <v>0.0112480816810072</v>
      </c>
      <c r="AC11">
        <v>0.0111441531360456</v>
      </c>
      <c r="AD11">
        <v>0.0110389865120149</v>
      </c>
      <c r="AE11">
        <v>0.0109299220562328</v>
      </c>
      <c r="AF11">
        <v>0.0108158026143362</v>
      </c>
      <c r="AG11">
        <v>0.0106983526770728</v>
      </c>
      <c r="AH11">
        <v>0.01058231145334</v>
      </c>
      <c r="AI11">
        <v>0.0104728075874286</v>
      </c>
      <c r="AJ11">
        <v>0.0103722351498769</v>
      </c>
      <c r="AK11">
        <v>0.0102798349284395</v>
      </c>
      <c r="AL11">
        <v>0.0101924647159997</v>
      </c>
      <c r="AM11">
        <v>0.0101057939067181</v>
      </c>
      <c r="AN11">
        <v>0.0100152909398431</v>
      </c>
      <c r="AO11">
        <v>0.00991828271428512</v>
      </c>
      <c r="AP11">
        <v>0.00981497923552208</v>
      </c>
    </row>
    <row r="12" spans="1:42" ht="12.75">
      <c r="A12" t="s">
        <v>8</v>
      </c>
      <c r="B12">
        <v>0.0180472979791044</v>
      </c>
      <c r="C12">
        <v>0.0181184671223628</v>
      </c>
      <c r="D12">
        <v>0.018208525540081</v>
      </c>
      <c r="E12">
        <v>0.0183121826451337</v>
      </c>
      <c r="F12">
        <v>0.0181776218926415</v>
      </c>
      <c r="G12">
        <v>0.0185377970062426</v>
      </c>
      <c r="H12">
        <v>0.0186393216422301</v>
      </c>
      <c r="I12">
        <v>0.0186747871721328</v>
      </c>
      <c r="J12">
        <v>0.0186929319267056</v>
      </c>
      <c r="K12">
        <v>0.0187092721227826</v>
      </c>
      <c r="L12">
        <v>0.0187078867852675</v>
      </c>
      <c r="M12">
        <v>0.0187240768716592</v>
      </c>
      <c r="N12">
        <v>0.0193683650591355</v>
      </c>
      <c r="O12">
        <v>0.0198560534401308</v>
      </c>
      <c r="P12">
        <v>0.0198034685179987</v>
      </c>
      <c r="Q12">
        <v>0.0186311108303814</v>
      </c>
      <c r="R12">
        <v>0.0179152690231574</v>
      </c>
      <c r="S12">
        <v>0.0177726275377753</v>
      </c>
      <c r="T12">
        <v>0.0176277820478775</v>
      </c>
      <c r="U12">
        <v>0.0174797520266149</v>
      </c>
      <c r="V12">
        <v>0.0173296316788684</v>
      </c>
      <c r="W12">
        <v>0.017179747595775</v>
      </c>
      <c r="X12">
        <v>0.0170326500852367</v>
      </c>
      <c r="Y12">
        <v>0.0168899923411372</v>
      </c>
      <c r="Z12">
        <v>0.016752191054288</v>
      </c>
      <c r="AA12">
        <v>0.0166183509667728</v>
      </c>
      <c r="AB12">
        <v>0.0164868666759288</v>
      </c>
      <c r="AC12">
        <v>0.0163549443814366</v>
      </c>
      <c r="AD12">
        <v>0.016221861360731</v>
      </c>
      <c r="AE12">
        <v>0.0160895325701351</v>
      </c>
      <c r="AF12">
        <v>0.0159601917203379</v>
      </c>
      <c r="AG12">
        <v>0.0158341324322334</v>
      </c>
      <c r="AH12">
        <v>0.0157098961180365</v>
      </c>
      <c r="AI12">
        <v>0.0155835945705575</v>
      </c>
      <c r="AJ12">
        <v>0.0154516268255589</v>
      </c>
      <c r="AK12">
        <v>0.0153125172344029</v>
      </c>
      <c r="AL12">
        <v>0.0151689375815154</v>
      </c>
      <c r="AM12">
        <v>0.0150272121073793</v>
      </c>
      <c r="AN12">
        <v>0.0148940205648228</v>
      </c>
      <c r="AO12">
        <v>0.0147723693711835</v>
      </c>
      <c r="AP12">
        <v>0.014661192758614</v>
      </c>
    </row>
    <row r="13" spans="1:42" ht="12.75">
      <c r="A13" t="s">
        <v>9</v>
      </c>
      <c r="B13">
        <v>0.0247422208161512</v>
      </c>
      <c r="C13">
        <v>0.0248738683775658</v>
      </c>
      <c r="D13">
        <v>0.0249986150780497</v>
      </c>
      <c r="E13">
        <v>0.0250978169169255</v>
      </c>
      <c r="F13">
        <v>0.0249136396642416</v>
      </c>
      <c r="G13">
        <v>0.0252147601470224</v>
      </c>
      <c r="H13">
        <v>0.0252594806499739</v>
      </c>
      <c r="I13">
        <v>0.0252651101965148</v>
      </c>
      <c r="J13">
        <v>0.0253005884224962</v>
      </c>
      <c r="K13">
        <v>0.0253862978438642</v>
      </c>
      <c r="L13">
        <v>0.0254635563948447</v>
      </c>
      <c r="M13">
        <v>0.025530796158928</v>
      </c>
      <c r="N13">
        <v>0.0264320036253705</v>
      </c>
      <c r="O13">
        <v>0.0265803523168912</v>
      </c>
      <c r="P13">
        <v>0.0264899649225432</v>
      </c>
      <c r="Q13">
        <v>0.0253750452630454</v>
      </c>
      <c r="R13">
        <v>0.0244162701404193</v>
      </c>
      <c r="S13">
        <v>0.0241910713136625</v>
      </c>
      <c r="T13">
        <v>0.0239862436844839</v>
      </c>
      <c r="U13">
        <v>0.023801848994683</v>
      </c>
      <c r="V13">
        <v>0.0236306899583383</v>
      </c>
      <c r="W13">
        <v>0.0234643974269577</v>
      </c>
      <c r="X13">
        <v>0.0232974152335435</v>
      </c>
      <c r="Y13">
        <v>0.02312722004916</v>
      </c>
      <c r="Z13">
        <v>0.0229525068583961</v>
      </c>
      <c r="AA13">
        <v>0.0227746823339772</v>
      </c>
      <c r="AB13">
        <v>0.0225967043005488</v>
      </c>
      <c r="AC13">
        <v>0.0224217861765796</v>
      </c>
      <c r="AD13">
        <v>0.0222521012170786</v>
      </c>
      <c r="AE13">
        <v>0.0220883516825292</v>
      </c>
      <c r="AF13">
        <v>0.0219295640866363</v>
      </c>
      <c r="AG13">
        <v>0.0217738465758566</v>
      </c>
      <c r="AH13">
        <v>0.0216178934613418</v>
      </c>
      <c r="AI13">
        <v>0.0214606641451974</v>
      </c>
      <c r="AJ13">
        <v>0.0213041521934066</v>
      </c>
      <c r="AK13">
        <v>0.0211509636205242</v>
      </c>
      <c r="AL13">
        <v>0.0210015994249654</v>
      </c>
      <c r="AM13">
        <v>0.0208543451588388</v>
      </c>
      <c r="AN13">
        <v>0.0207047016248156</v>
      </c>
      <c r="AO13">
        <v>0.0205485659519826</v>
      </c>
      <c r="AP13">
        <v>0.0203841584554025</v>
      </c>
    </row>
    <row r="14" spans="1:42" ht="12.75">
      <c r="A14" t="s">
        <v>10</v>
      </c>
      <c r="B14">
        <v>0.0342565243401076</v>
      </c>
      <c r="C14">
        <v>0.0341054306722125</v>
      </c>
      <c r="D14">
        <v>0.0340070237601079</v>
      </c>
      <c r="E14">
        <v>0.0339655728666279</v>
      </c>
      <c r="F14">
        <v>0.0337270977439549</v>
      </c>
      <c r="G14">
        <v>0.0339773818965084</v>
      </c>
      <c r="H14">
        <v>0.0339796085912463</v>
      </c>
      <c r="I14">
        <v>0.0339171368605265</v>
      </c>
      <c r="J14">
        <v>0.0338396700557061</v>
      </c>
      <c r="K14">
        <v>0.033782530453596</v>
      </c>
      <c r="L14">
        <v>0.0336884864159137</v>
      </c>
      <c r="M14">
        <v>0.0335858151381246</v>
      </c>
      <c r="N14">
        <v>0.0345334278501221</v>
      </c>
      <c r="O14">
        <v>0.0348140597159774</v>
      </c>
      <c r="P14">
        <v>0.0356230565013575</v>
      </c>
      <c r="Q14">
        <v>0.0347014741584386</v>
      </c>
      <c r="R14">
        <v>0.0337990806285891</v>
      </c>
      <c r="S14">
        <v>0.0336006959055895</v>
      </c>
      <c r="T14">
        <v>0.0333762848021404</v>
      </c>
      <c r="U14">
        <v>0.0331163325175205</v>
      </c>
      <c r="V14">
        <v>0.0328257752083161</v>
      </c>
      <c r="W14">
        <v>0.0325233996231766</v>
      </c>
      <c r="X14">
        <v>0.0322352831488777</v>
      </c>
      <c r="Y14">
        <v>0.0319787333350837</v>
      </c>
      <c r="Z14">
        <v>0.03175392742802</v>
      </c>
      <c r="AA14">
        <v>0.0315492529377816</v>
      </c>
      <c r="AB14">
        <v>0.0313512300845502</v>
      </c>
      <c r="AC14">
        <v>0.0311508515036851</v>
      </c>
      <c r="AD14">
        <v>0.0309442381065839</v>
      </c>
      <c r="AE14">
        <v>0.0307294010789434</v>
      </c>
      <c r="AF14">
        <v>0.0305087983414994</v>
      </c>
      <c r="AG14">
        <v>0.0302873569909554</v>
      </c>
      <c r="AH14">
        <v>0.0300704352834927</v>
      </c>
      <c r="AI14">
        <v>0.0298616281672903</v>
      </c>
      <c r="AJ14">
        <v>0.0296621267008353</v>
      </c>
      <c r="AK14">
        <v>0.029470315019512</v>
      </c>
      <c r="AL14">
        <v>0.029283058691991</v>
      </c>
      <c r="AM14">
        <v>0.0290949528793125</v>
      </c>
      <c r="AN14">
        <v>0.0289042481717789</v>
      </c>
      <c r="AO14">
        <v>0.0287140233126493</v>
      </c>
      <c r="AP14">
        <v>0.0285283428119881</v>
      </c>
    </row>
    <row r="15" spans="1:42" ht="12.75">
      <c r="A15" t="s">
        <v>11</v>
      </c>
      <c r="B15">
        <v>0.0482301625310204</v>
      </c>
      <c r="C15">
        <v>0.0484125131829322</v>
      </c>
      <c r="D15">
        <v>0.0486066519463151</v>
      </c>
      <c r="E15">
        <v>0.0487517995954029</v>
      </c>
      <c r="F15">
        <v>0.0485760808632558</v>
      </c>
      <c r="G15">
        <v>0.0487086525218653</v>
      </c>
      <c r="H15">
        <v>0.0486184364373661</v>
      </c>
      <c r="I15">
        <v>0.0485435490750895</v>
      </c>
      <c r="J15">
        <v>0.0485722250913615</v>
      </c>
      <c r="K15">
        <v>0.0487348166406761</v>
      </c>
      <c r="L15">
        <v>0.0489284721424169</v>
      </c>
      <c r="M15">
        <v>0.049125311141836</v>
      </c>
      <c r="N15">
        <v>0.049740201399731</v>
      </c>
      <c r="O15">
        <v>0.0500311465326148</v>
      </c>
      <c r="P15">
        <v>0.0507568463497451</v>
      </c>
      <c r="Q15">
        <v>0.0500590414599519</v>
      </c>
      <c r="R15">
        <v>0.0494044150231527</v>
      </c>
      <c r="S15">
        <v>0.0490183762832132</v>
      </c>
      <c r="T15">
        <v>0.0486616353737773</v>
      </c>
      <c r="U15">
        <v>0.0483520764982587</v>
      </c>
      <c r="V15">
        <v>0.0480905236256882</v>
      </c>
      <c r="W15">
        <v>0.0478606093009491</v>
      </c>
      <c r="X15">
        <v>0.0476237755526087</v>
      </c>
      <c r="Y15">
        <v>0.0473467575599833</v>
      </c>
      <c r="Z15">
        <v>0.0470134924571425</v>
      </c>
      <c r="AA15">
        <v>0.046630404463534</v>
      </c>
      <c r="AB15">
        <v>0.0462259073267305</v>
      </c>
      <c r="AC15">
        <v>0.0458406060163046</v>
      </c>
      <c r="AD15">
        <v>0.0455022751468095</v>
      </c>
      <c r="AE15">
        <v>0.0452130064125474</v>
      </c>
      <c r="AF15">
        <v>0.0449556179049842</v>
      </c>
      <c r="AG15">
        <v>0.044708848371628</v>
      </c>
      <c r="AH15">
        <v>0.0444578445292626</v>
      </c>
      <c r="AI15">
        <v>0.0441966257739981</v>
      </c>
      <c r="AJ15">
        <v>0.0439214110437855</v>
      </c>
      <c r="AK15">
        <v>0.0436360296507763</v>
      </c>
      <c r="AL15">
        <v>0.0433484625763283</v>
      </c>
      <c r="AM15">
        <v>0.0430678457316271</v>
      </c>
      <c r="AN15">
        <v>0.0428003405584405</v>
      </c>
      <c r="AO15">
        <v>0.0425485833380925</v>
      </c>
      <c r="AP15">
        <v>0.0423100457782045</v>
      </c>
    </row>
    <row r="16" spans="1:42" ht="12.75">
      <c r="A16" t="s">
        <v>12</v>
      </c>
      <c r="B16">
        <v>0.066435031179208</v>
      </c>
      <c r="C16">
        <v>0.0670918415335395</v>
      </c>
      <c r="D16">
        <v>0.067571432953529</v>
      </c>
      <c r="E16">
        <v>0.0681048889704585</v>
      </c>
      <c r="F16">
        <v>0.0685351363678325</v>
      </c>
      <c r="G16">
        <v>0.0691738161452451</v>
      </c>
      <c r="H16">
        <v>0.0696771491112582</v>
      </c>
      <c r="I16">
        <v>0.0701492670099962</v>
      </c>
      <c r="J16">
        <v>0.0705515021082447</v>
      </c>
      <c r="K16">
        <v>0.0708118068929796</v>
      </c>
      <c r="L16">
        <v>0.0709511321180809</v>
      </c>
      <c r="M16">
        <v>0.0710896484824078</v>
      </c>
      <c r="N16">
        <v>0.0707396346452228</v>
      </c>
      <c r="O16">
        <v>0.0707250540870671</v>
      </c>
      <c r="P16">
        <v>0.0708854948357708</v>
      </c>
      <c r="Q16">
        <v>0.0709004818468621</v>
      </c>
      <c r="R16">
        <v>0.0709054316289717</v>
      </c>
      <c r="S16">
        <v>0.0708592285163125</v>
      </c>
      <c r="T16">
        <v>0.070766768496025</v>
      </c>
      <c r="U16">
        <v>0.0706188474366443</v>
      </c>
      <c r="V16">
        <v>0.0704276210175339</v>
      </c>
      <c r="W16">
        <v>0.070221534104657</v>
      </c>
      <c r="X16">
        <v>0.070020754337425</v>
      </c>
      <c r="Y16">
        <v>0.0698552978796883</v>
      </c>
      <c r="Z16">
        <v>0.0697476543253457</v>
      </c>
      <c r="AA16">
        <v>0.0696984520476906</v>
      </c>
      <c r="AB16">
        <v>0.0696845838614493</v>
      </c>
      <c r="AC16">
        <v>0.0696558463536947</v>
      </c>
      <c r="AD16">
        <v>0.0695695365363462</v>
      </c>
      <c r="AE16">
        <v>0.069406282164289</v>
      </c>
      <c r="AF16">
        <v>0.0691749827073736</v>
      </c>
      <c r="AG16">
        <v>0.0689135682630724</v>
      </c>
      <c r="AH16">
        <v>0.0686746404291366</v>
      </c>
      <c r="AI16">
        <v>0.0684932068888302</v>
      </c>
      <c r="AJ16">
        <v>0.0683692672725087</v>
      </c>
      <c r="AK16">
        <v>0.0682803920353177</v>
      </c>
      <c r="AL16">
        <v>0.0682001253124227</v>
      </c>
      <c r="AM16">
        <v>0.0681108405055177</v>
      </c>
      <c r="AN16">
        <v>0.0680048646422345</v>
      </c>
      <c r="AO16">
        <v>0.0678788203003654</v>
      </c>
      <c r="AP16">
        <v>0.0677380804047199</v>
      </c>
    </row>
    <row r="17" spans="1:42" ht="12.75">
      <c r="A17" t="s">
        <v>13</v>
      </c>
      <c r="B17">
        <v>0.0901886794715743</v>
      </c>
      <c r="C17">
        <v>0.0909349663435538</v>
      </c>
      <c r="D17">
        <v>0.091728116976291</v>
      </c>
      <c r="E17">
        <v>0.0929360964355763</v>
      </c>
      <c r="F17">
        <v>0.0943469225372079</v>
      </c>
      <c r="G17">
        <v>0.0954616733050325</v>
      </c>
      <c r="H17">
        <v>0.096478699656713</v>
      </c>
      <c r="I17">
        <v>0.0972910197929756</v>
      </c>
      <c r="J17">
        <v>0.0981445882866132</v>
      </c>
      <c r="K17">
        <v>0.0989476699160771</v>
      </c>
      <c r="L17">
        <v>0.0997390236083331</v>
      </c>
      <c r="M17">
        <v>0.100439279288769</v>
      </c>
      <c r="N17">
        <v>0.0999457334760027</v>
      </c>
      <c r="O17">
        <v>0.0997540246379086</v>
      </c>
      <c r="P17">
        <v>0.0993218823132011</v>
      </c>
      <c r="Q17">
        <v>0.0988693088163207</v>
      </c>
      <c r="R17">
        <v>0.098448881586621</v>
      </c>
      <c r="S17">
        <v>0.0981019022577722</v>
      </c>
      <c r="T17">
        <v>0.0978913237901482</v>
      </c>
      <c r="U17">
        <v>0.0978067684443145</v>
      </c>
      <c r="V17">
        <v>0.0977965412865168</v>
      </c>
      <c r="W17">
        <v>0.0978027280457036</v>
      </c>
      <c r="X17">
        <v>0.0977798667815055</v>
      </c>
      <c r="Y17">
        <v>0.0976990294105476</v>
      </c>
      <c r="Z17">
        <v>0.0975489353097124</v>
      </c>
      <c r="AA17">
        <v>0.0973448753263392</v>
      </c>
      <c r="AB17">
        <v>0.0971232291536527</v>
      </c>
      <c r="AC17">
        <v>0.0969088123822475</v>
      </c>
      <c r="AD17">
        <v>0.0967400756246215</v>
      </c>
      <c r="AE17">
        <v>0.0966457532967061</v>
      </c>
      <c r="AF17">
        <v>0.0966263319475857</v>
      </c>
      <c r="AG17">
        <v>0.0966507827265293</v>
      </c>
      <c r="AH17">
        <v>0.0966549080483467</v>
      </c>
      <c r="AI17">
        <v>0.0965838951914477</v>
      </c>
      <c r="AJ17">
        <v>0.0964129738913193</v>
      </c>
      <c r="AK17">
        <v>0.0961534873685863</v>
      </c>
      <c r="AL17">
        <v>0.0958549733536498</v>
      </c>
      <c r="AM17">
        <v>0.095585376715024</v>
      </c>
      <c r="AN17">
        <v>0.095389314644472</v>
      </c>
      <c r="AO17">
        <v>0.0952657704094253</v>
      </c>
      <c r="AP17">
        <v>0.0951862974560724</v>
      </c>
    </row>
    <row r="18" spans="1:42" ht="12.75">
      <c r="A18" t="s">
        <v>14</v>
      </c>
      <c r="B18">
        <v>0.117916771490888</v>
      </c>
      <c r="C18">
        <v>0.119312923177104</v>
      </c>
      <c r="D18">
        <v>0.1207017975767</v>
      </c>
      <c r="E18">
        <v>0.122097826740148</v>
      </c>
      <c r="F18">
        <v>0.123912588429186</v>
      </c>
      <c r="G18">
        <v>0.125054166606422</v>
      </c>
      <c r="H18">
        <v>0.126623995355814</v>
      </c>
      <c r="I18">
        <v>0.128283193162481</v>
      </c>
      <c r="J18">
        <v>0.130429894947204</v>
      </c>
      <c r="K18">
        <v>0.132582890824184</v>
      </c>
      <c r="L18">
        <v>0.134623231470917</v>
      </c>
      <c r="M18">
        <v>0.136313488489208</v>
      </c>
      <c r="N18">
        <v>0.1358987084677</v>
      </c>
      <c r="O18">
        <v>0.1359302794276</v>
      </c>
      <c r="P18">
        <v>0.135853735177172</v>
      </c>
      <c r="Q18">
        <v>0.135710005578745</v>
      </c>
      <c r="R18">
        <v>0.135414406150197</v>
      </c>
      <c r="S18">
        <v>0.135511237480641</v>
      </c>
      <c r="T18">
        <v>0.13551644782483</v>
      </c>
      <c r="U18">
        <v>0.135278084776237</v>
      </c>
      <c r="V18">
        <v>0.134830080851097</v>
      </c>
      <c r="W18">
        <v>0.134316597729908</v>
      </c>
      <c r="X18">
        <v>0.133897603894859</v>
      </c>
      <c r="Y18">
        <v>0.133672554053702</v>
      </c>
      <c r="Z18">
        <v>0.133627264076172</v>
      </c>
      <c r="AA18">
        <v>0.133688991290601</v>
      </c>
      <c r="AB18">
        <v>0.133775168769397</v>
      </c>
      <c r="AC18">
        <v>0.133820277879185</v>
      </c>
      <c r="AD18">
        <v>0.133781936412815</v>
      </c>
      <c r="AE18">
        <v>0.133643340106114</v>
      </c>
      <c r="AF18">
        <v>0.133426389397869</v>
      </c>
      <c r="AG18">
        <v>0.133183945638484</v>
      </c>
      <c r="AH18">
        <v>0.132952108464017</v>
      </c>
      <c r="AI18">
        <v>0.132786880994455</v>
      </c>
      <c r="AJ18">
        <v>0.132730213090573</v>
      </c>
      <c r="AK18">
        <v>0.132783286215727</v>
      </c>
      <c r="AL18">
        <v>0.132901314122892</v>
      </c>
      <c r="AM18">
        <v>0.132990301966295</v>
      </c>
      <c r="AN18">
        <v>0.132968947576625</v>
      </c>
      <c r="AO18">
        <v>0.132799813642185</v>
      </c>
      <c r="AP18">
        <v>0.132499146236338</v>
      </c>
    </row>
    <row r="19" spans="1:42" ht="12.75">
      <c r="A19" t="s">
        <v>15</v>
      </c>
      <c r="B19">
        <v>0.168310696433312</v>
      </c>
      <c r="C19">
        <v>0.174582081939101</v>
      </c>
      <c r="D19">
        <v>0.185501633139648</v>
      </c>
      <c r="E19">
        <v>0.174385073619016</v>
      </c>
      <c r="F19">
        <v>0.183907338336293</v>
      </c>
      <c r="G19">
        <v>0.172432460991411</v>
      </c>
      <c r="H19">
        <v>0.17960162059111</v>
      </c>
      <c r="I19">
        <v>0.182743092634002</v>
      </c>
      <c r="J19">
        <v>0.185078072337647</v>
      </c>
      <c r="K19">
        <v>0.187057166932608</v>
      </c>
      <c r="L19">
        <v>0.188961812677372</v>
      </c>
      <c r="M19">
        <v>0.19109992083841</v>
      </c>
      <c r="N19">
        <v>0.191721705710767</v>
      </c>
      <c r="O19">
        <v>0.193945826414154</v>
      </c>
      <c r="P19">
        <v>0.196427560432353</v>
      </c>
      <c r="Q19">
        <v>0.198826153593519</v>
      </c>
      <c r="R19">
        <v>0.200887505790095</v>
      </c>
      <c r="S19">
        <v>0.202664402090853</v>
      </c>
      <c r="T19">
        <v>0.204087359874367</v>
      </c>
      <c r="U19">
        <v>0.205206723156119</v>
      </c>
      <c r="V19">
        <v>0.206276577544002</v>
      </c>
      <c r="W19">
        <v>0.207352207821729</v>
      </c>
      <c r="X19">
        <v>0.208343072894235</v>
      </c>
      <c r="Y19">
        <v>0.209097505632669</v>
      </c>
      <c r="Z19">
        <v>0.209417222974584</v>
      </c>
      <c r="AA19">
        <v>0.209172979353679</v>
      </c>
      <c r="AB19">
        <v>0.208492167014962</v>
      </c>
      <c r="AC19">
        <v>0.207637679867528</v>
      </c>
      <c r="AD19">
        <v>0.206895154022107</v>
      </c>
      <c r="AE19">
        <v>0.206428986341949</v>
      </c>
      <c r="AF19">
        <v>0.206293949151796</v>
      </c>
      <c r="AG19">
        <v>0.206409971844732</v>
      </c>
      <c r="AH19">
        <v>0.206651868159164</v>
      </c>
      <c r="AI19">
        <v>0.206870358000936</v>
      </c>
      <c r="AJ19">
        <v>0.206956222880068</v>
      </c>
      <c r="AK19">
        <v>0.206854282552751</v>
      </c>
      <c r="AL19">
        <v>0.206610192369588</v>
      </c>
      <c r="AM19">
        <v>0.206265270483808</v>
      </c>
      <c r="AN19">
        <v>0.205958377137451</v>
      </c>
      <c r="AO19">
        <v>0.205831564726143</v>
      </c>
      <c r="AP19">
        <v>0.205964069224215</v>
      </c>
    </row>
    <row r="21" ht="12.75">
      <c r="A21" t="s">
        <v>17</v>
      </c>
    </row>
    <row r="22" spans="1:42" ht="12.75">
      <c r="A22" t="s">
        <v>0</v>
      </c>
      <c r="B22">
        <v>0.000507658301345594</v>
      </c>
      <c r="C22">
        <v>0.000512789676889972</v>
      </c>
      <c r="D22">
        <v>0.000502744394504235</v>
      </c>
      <c r="E22">
        <v>0.000504796671682689</v>
      </c>
      <c r="F22">
        <v>0.000487443013764896</v>
      </c>
      <c r="G22">
        <v>0.000506045452248304</v>
      </c>
      <c r="H22">
        <v>0.000512063180267424</v>
      </c>
      <c r="I22">
        <v>0.000515659604312056</v>
      </c>
      <c r="J22">
        <v>0.000520936637843978</v>
      </c>
      <c r="K22">
        <v>0.000535783165466509</v>
      </c>
      <c r="L22">
        <v>0.000545536206586309</v>
      </c>
      <c r="M22">
        <v>0.000559865087976016</v>
      </c>
      <c r="N22">
        <v>0.000574617239478617</v>
      </c>
      <c r="O22">
        <v>0.000600580954469821</v>
      </c>
      <c r="P22">
        <v>0.000586307965225695</v>
      </c>
      <c r="Q22">
        <v>0.000561387692213092</v>
      </c>
      <c r="R22">
        <v>0.000537099943702854</v>
      </c>
      <c r="S22">
        <v>0.000527397945543606</v>
      </c>
      <c r="T22">
        <v>0.000517704433192073</v>
      </c>
      <c r="U22">
        <v>0.00050806373598323</v>
      </c>
      <c r="V22">
        <v>0.00049848605911553</v>
      </c>
      <c r="W22">
        <v>0.000488946316861495</v>
      </c>
      <c r="X22">
        <v>0.00047786485874131</v>
      </c>
      <c r="Y22">
        <v>0.000468161076696868</v>
      </c>
      <c r="Z22">
        <v>0.000459872163012819</v>
      </c>
      <c r="AA22">
        <v>0.000452819343773372</v>
      </c>
      <c r="AB22">
        <v>0.000447812543642483</v>
      </c>
      <c r="AC22">
        <v>0.00043946728110674</v>
      </c>
      <c r="AD22">
        <v>0.000431021511837419</v>
      </c>
      <c r="AE22">
        <v>0.000422684200031026</v>
      </c>
      <c r="AF22">
        <v>0.000414613148375405</v>
      </c>
      <c r="AG22">
        <v>0.000407216300658327</v>
      </c>
      <c r="AH22">
        <v>0.000400271258789676</v>
      </c>
      <c r="AI22">
        <v>0.000393382422595906</v>
      </c>
      <c r="AJ22">
        <v>0.000386604053050299</v>
      </c>
      <c r="AK22">
        <v>0.000379798062293908</v>
      </c>
      <c r="AL22">
        <v>0.000372999397580562</v>
      </c>
      <c r="AM22">
        <v>0.000366343674433161</v>
      </c>
      <c r="AN22">
        <v>0.000359817964732005</v>
      </c>
      <c r="AO22">
        <v>0.000353413144432469</v>
      </c>
      <c r="AP22">
        <v>0.00034712894864168</v>
      </c>
    </row>
    <row r="23" spans="1:42" ht="12.75">
      <c r="A23" t="s">
        <v>1</v>
      </c>
      <c r="B23">
        <v>0.00111449393156404</v>
      </c>
      <c r="C23">
        <v>0.00112494228207585</v>
      </c>
      <c r="D23">
        <v>0.00113870509242172</v>
      </c>
      <c r="E23">
        <v>0.00115485108218302</v>
      </c>
      <c r="F23">
        <v>0.00112657955566349</v>
      </c>
      <c r="G23">
        <v>0.00118974946355903</v>
      </c>
      <c r="H23">
        <v>0.00120541508745264</v>
      </c>
      <c r="I23">
        <v>0.00121355462724915</v>
      </c>
      <c r="J23">
        <v>0.00122186023079295</v>
      </c>
      <c r="K23">
        <v>0.00123644395762699</v>
      </c>
      <c r="L23">
        <v>0.00124655912759971</v>
      </c>
      <c r="M23">
        <v>0.00125583887890704</v>
      </c>
      <c r="N23">
        <v>0.00131620182850142</v>
      </c>
      <c r="O23">
        <v>0.00154011764543875</v>
      </c>
      <c r="P23">
        <v>0.00169600505859002</v>
      </c>
      <c r="Q23">
        <v>0.00164028909298997</v>
      </c>
      <c r="R23">
        <v>0.00159463248982538</v>
      </c>
      <c r="S23">
        <v>0.00156878585059478</v>
      </c>
      <c r="T23">
        <v>0.00154190185422532</v>
      </c>
      <c r="U23">
        <v>0.00151437577551273</v>
      </c>
      <c r="V23">
        <v>0.00148694884815128</v>
      </c>
      <c r="W23">
        <v>0.0014603876547054</v>
      </c>
      <c r="X23">
        <v>0.00143420695326787</v>
      </c>
      <c r="Y23">
        <v>0.00140825145592589</v>
      </c>
      <c r="Z23">
        <v>0.0013826069255995</v>
      </c>
      <c r="AA23">
        <v>0.00135727756815552</v>
      </c>
      <c r="AB23">
        <v>0.00133219914600263</v>
      </c>
      <c r="AC23">
        <v>0.00130400756153014</v>
      </c>
      <c r="AD23">
        <v>0.00127977017521829</v>
      </c>
      <c r="AE23">
        <v>0.00125853217557803</v>
      </c>
      <c r="AF23">
        <v>0.001239186608733</v>
      </c>
      <c r="AG23">
        <v>0.00122061524169221</v>
      </c>
      <c r="AH23">
        <v>0.0011984050025332</v>
      </c>
      <c r="AI23">
        <v>0.00117606337941643</v>
      </c>
      <c r="AJ23">
        <v>0.00115423500754646</v>
      </c>
      <c r="AK23">
        <v>0.00113320428775311</v>
      </c>
      <c r="AL23">
        <v>0.00111331377320719</v>
      </c>
      <c r="AM23">
        <v>0.00109420572974463</v>
      </c>
      <c r="AN23">
        <v>0.00107535306745153</v>
      </c>
      <c r="AO23">
        <v>0.00105672204588505</v>
      </c>
      <c r="AP23">
        <v>0.00103819676785647</v>
      </c>
    </row>
    <row r="24" spans="1:42" ht="12.75">
      <c r="A24" t="s">
        <v>2</v>
      </c>
      <c r="B24">
        <v>0.00185200521472391</v>
      </c>
      <c r="C24">
        <v>0.00187379482168102</v>
      </c>
      <c r="D24">
        <v>0.00189882003817759</v>
      </c>
      <c r="E24">
        <v>0.00192456766526123</v>
      </c>
      <c r="F24">
        <v>0.00187815543542715</v>
      </c>
      <c r="G24">
        <v>0.00196855091206232</v>
      </c>
      <c r="H24">
        <v>0.0019843424823712</v>
      </c>
      <c r="I24">
        <v>0.00199099924420521</v>
      </c>
      <c r="J24">
        <v>0.00200327026523373</v>
      </c>
      <c r="K24">
        <v>0.00202993456886976</v>
      </c>
      <c r="L24">
        <v>0.00205442067925222</v>
      </c>
      <c r="M24">
        <v>0.0020790553815319</v>
      </c>
      <c r="N24">
        <v>0.00232163545597131</v>
      </c>
      <c r="O24">
        <v>0.00248865513841295</v>
      </c>
      <c r="P24">
        <v>0.0025318709538755</v>
      </c>
      <c r="Q24">
        <v>0.00223693396273783</v>
      </c>
      <c r="R24">
        <v>0.00206386203153122</v>
      </c>
      <c r="S24">
        <v>0.00202614515041093</v>
      </c>
      <c r="T24">
        <v>0.00198932514240114</v>
      </c>
      <c r="U24">
        <v>0.00195350019857756</v>
      </c>
      <c r="V24">
        <v>0.00191863450291449</v>
      </c>
      <c r="W24">
        <v>0.00188464393767563</v>
      </c>
      <c r="X24">
        <v>0.00185127460870159</v>
      </c>
      <c r="Y24">
        <v>0.00181841825963077</v>
      </c>
      <c r="Z24">
        <v>0.00178596709705557</v>
      </c>
      <c r="AA24">
        <v>0.00175396693302631</v>
      </c>
      <c r="AB24">
        <v>0.00172266906219662</v>
      </c>
      <c r="AC24">
        <v>0.00169196657970828</v>
      </c>
      <c r="AD24">
        <v>0.00166180777987107</v>
      </c>
      <c r="AE24">
        <v>0.00163219335122314</v>
      </c>
      <c r="AF24">
        <v>0.00160311697167169</v>
      </c>
      <c r="AG24">
        <v>0.00157456875851193</v>
      </c>
      <c r="AH24">
        <v>0.00154622971430224</v>
      </c>
      <c r="AI24">
        <v>0.00151869525936864</v>
      </c>
      <c r="AJ24">
        <v>0.00149171939335026</v>
      </c>
      <c r="AK24">
        <v>0.00146563393599595</v>
      </c>
      <c r="AL24">
        <v>0.00144062863079249</v>
      </c>
      <c r="AM24">
        <v>0.00141521988107873</v>
      </c>
      <c r="AN24">
        <v>0.00139023522456375</v>
      </c>
      <c r="AO24">
        <v>0.00136569086451124</v>
      </c>
      <c r="AP24">
        <v>0.00134160920786092</v>
      </c>
    </row>
    <row r="25" spans="1:42" ht="12.75">
      <c r="A25" t="s">
        <v>3</v>
      </c>
      <c r="B25">
        <v>0.00224260126154085</v>
      </c>
      <c r="C25">
        <v>0.0022748442274743</v>
      </c>
      <c r="D25">
        <v>0.00231270505057402</v>
      </c>
      <c r="E25">
        <v>0.00235421925400982</v>
      </c>
      <c r="F25">
        <v>0.00231893201202767</v>
      </c>
      <c r="G25">
        <v>0.00243599960125874</v>
      </c>
      <c r="H25">
        <v>0.00247046678665638</v>
      </c>
      <c r="I25">
        <v>0.00249284153374888</v>
      </c>
      <c r="J25">
        <v>0.00251637660226534</v>
      </c>
      <c r="K25">
        <v>0.00254645766707337</v>
      </c>
      <c r="L25">
        <v>0.00257432925229671</v>
      </c>
      <c r="M25">
        <v>0.00260430691129037</v>
      </c>
      <c r="N25">
        <v>0.00293076565582477</v>
      </c>
      <c r="O25">
        <v>0.00301015983369304</v>
      </c>
      <c r="P25">
        <v>0.00297032557174848</v>
      </c>
      <c r="Q25">
        <v>0.0024407221953041</v>
      </c>
      <c r="R25">
        <v>0.0023435252722707</v>
      </c>
      <c r="S25">
        <v>0.00230142011032022</v>
      </c>
      <c r="T25">
        <v>0.00225977461207652</v>
      </c>
      <c r="U25">
        <v>0.00221845023110557</v>
      </c>
      <c r="V25">
        <v>0.00217748652225627</v>
      </c>
      <c r="W25">
        <v>0.00213710947306218</v>
      </c>
      <c r="X25">
        <v>0.00209762162281309</v>
      </c>
      <c r="Y25">
        <v>0.00205928376804574</v>
      </c>
      <c r="Z25">
        <v>0.00202218054963955</v>
      </c>
      <c r="AA25">
        <v>0.00198621418344095</v>
      </c>
      <c r="AB25">
        <v>0.00195120714206003</v>
      </c>
      <c r="AC25">
        <v>0.00191668345785915</v>
      </c>
      <c r="AD25">
        <v>0.00188252178003423</v>
      </c>
      <c r="AE25">
        <v>0.00184875497197746</v>
      </c>
      <c r="AF25">
        <v>0.00181551593081013</v>
      </c>
      <c r="AG25">
        <v>0.00178301138057255</v>
      </c>
      <c r="AH25">
        <v>0.00175110879971496</v>
      </c>
      <c r="AI25">
        <v>0.00171976049739825</v>
      </c>
      <c r="AJ25">
        <v>0.00168897486721632</v>
      </c>
      <c r="AK25">
        <v>0.00165874401306353</v>
      </c>
      <c r="AL25">
        <v>0.00162904699070468</v>
      </c>
      <c r="AM25">
        <v>0.00159919560210983</v>
      </c>
      <c r="AN25">
        <v>0.00157058657584644</v>
      </c>
      <c r="AO25">
        <v>0.0015429989513848</v>
      </c>
      <c r="AP25">
        <v>0.00151629726667265</v>
      </c>
    </row>
    <row r="26" spans="1:42" ht="12.75">
      <c r="A26" t="s">
        <v>4</v>
      </c>
      <c r="B26">
        <v>0.00257794033544593</v>
      </c>
      <c r="C26">
        <v>0.00262368126714934</v>
      </c>
      <c r="D26">
        <v>0.00267462480698035</v>
      </c>
      <c r="E26">
        <v>0.0027285931895579</v>
      </c>
      <c r="F26">
        <v>0.00270419611703512</v>
      </c>
      <c r="G26">
        <v>0.0028350980522428</v>
      </c>
      <c r="H26">
        <v>0.00288565751638702</v>
      </c>
      <c r="I26">
        <v>0.00292733689577615</v>
      </c>
      <c r="J26">
        <v>0.00297432660505925</v>
      </c>
      <c r="K26">
        <v>0.00303025892286462</v>
      </c>
      <c r="L26">
        <v>0.0030840637115407</v>
      </c>
      <c r="M26">
        <v>0.00313677722008901</v>
      </c>
      <c r="N26">
        <v>0.00345531463942927</v>
      </c>
      <c r="O26">
        <v>0.00355156158837203</v>
      </c>
      <c r="P26">
        <v>0.00349287503585243</v>
      </c>
      <c r="Q26">
        <v>0.00283683687574361</v>
      </c>
      <c r="R26">
        <v>0.00269608380568821</v>
      </c>
      <c r="S26">
        <v>0.00264413381744848</v>
      </c>
      <c r="T26">
        <v>0.00259389451095177</v>
      </c>
      <c r="U26">
        <v>0.0025455444204633</v>
      </c>
      <c r="V26">
        <v>0.00249885530502895</v>
      </c>
      <c r="W26">
        <v>0.00245338717666259</v>
      </c>
      <c r="X26">
        <v>0.00240864836622972</v>
      </c>
      <c r="Y26">
        <v>0.00236423223910237</v>
      </c>
      <c r="Z26">
        <v>0.0023199195490233</v>
      </c>
      <c r="AA26">
        <v>0.00227579826127912</v>
      </c>
      <c r="AB26">
        <v>0.00223223701607264</v>
      </c>
      <c r="AC26">
        <v>0.00218974031231853</v>
      </c>
      <c r="AD26">
        <v>0.00214874774243169</v>
      </c>
      <c r="AE26">
        <v>0.00210940777463433</v>
      </c>
      <c r="AF26">
        <v>0.00207155389229788</v>
      </c>
      <c r="AG26">
        <v>0.002034919556514</v>
      </c>
      <c r="AH26">
        <v>0.00199874660076144</v>
      </c>
      <c r="AI26">
        <v>0.0019628381982534</v>
      </c>
      <c r="AJ26">
        <v>0.00192721992462756</v>
      </c>
      <c r="AK26">
        <v>0.00189207428610373</v>
      </c>
      <c r="AL26">
        <v>0.00185783133313955</v>
      </c>
      <c r="AM26">
        <v>0.00182425496444616</v>
      </c>
      <c r="AN26">
        <v>0.00179126509094481</v>
      </c>
      <c r="AO26">
        <v>0.00175887820646898</v>
      </c>
      <c r="AP26">
        <v>0.00172708788142168</v>
      </c>
    </row>
    <row r="27" spans="1:42" ht="12.75">
      <c r="A27" t="s">
        <v>5</v>
      </c>
      <c r="B27">
        <v>0.00326822585504335</v>
      </c>
      <c r="C27">
        <v>0.003318339044776</v>
      </c>
      <c r="D27">
        <v>0.00337208043252421</v>
      </c>
      <c r="E27">
        <v>0.00342728577778837</v>
      </c>
      <c r="F27">
        <v>0.00339868551595018</v>
      </c>
      <c r="G27">
        <v>0.00353263438678817</v>
      </c>
      <c r="H27">
        <v>0.00358188811722018</v>
      </c>
      <c r="I27">
        <v>0.00362070583782254</v>
      </c>
      <c r="J27">
        <v>0.00366317889637934</v>
      </c>
      <c r="K27">
        <v>0.00371346185181926</v>
      </c>
      <c r="L27">
        <v>0.00376177054459013</v>
      </c>
      <c r="M27">
        <v>0.00381093438316471</v>
      </c>
      <c r="N27">
        <v>0.00417177197907933</v>
      </c>
      <c r="O27">
        <v>0.0042229452828436</v>
      </c>
      <c r="P27">
        <v>0.00424468618960465</v>
      </c>
      <c r="Q27">
        <v>0.00353729019867806</v>
      </c>
      <c r="R27">
        <v>0.0034804517745238</v>
      </c>
      <c r="S27">
        <v>0.00341883491843979</v>
      </c>
      <c r="T27">
        <v>0.00335750390582972</v>
      </c>
      <c r="U27">
        <v>0.00329579167800665</v>
      </c>
      <c r="V27">
        <v>0.00323359419711469</v>
      </c>
      <c r="W27">
        <v>0.0031715241537321</v>
      </c>
      <c r="X27">
        <v>0.00311080693730803</v>
      </c>
      <c r="Y27">
        <v>0.00305257729819396</v>
      </c>
      <c r="Z27">
        <v>0.00299724583929088</v>
      </c>
      <c r="AA27">
        <v>0.00294444302631747</v>
      </c>
      <c r="AB27">
        <v>0.00289333648158081</v>
      </c>
      <c r="AC27">
        <v>0.00284292400057082</v>
      </c>
      <c r="AD27">
        <v>0.00279234860247789</v>
      </c>
      <c r="AE27">
        <v>0.00274113216066194</v>
      </c>
      <c r="AF27">
        <v>0.00268942764878741</v>
      </c>
      <c r="AG27">
        <v>0.00263802995139482</v>
      </c>
      <c r="AH27">
        <v>0.00258803428071709</v>
      </c>
      <c r="AI27">
        <v>0.00254048023070129</v>
      </c>
      <c r="AJ27">
        <v>0.00249574445086699</v>
      </c>
      <c r="AK27">
        <v>0.00245351775418235</v>
      </c>
      <c r="AL27">
        <v>0.00241326604737621</v>
      </c>
      <c r="AM27">
        <v>0.0023731973185327</v>
      </c>
      <c r="AN27">
        <v>0.00233285132873488</v>
      </c>
      <c r="AO27">
        <v>0.00229232462553003</v>
      </c>
      <c r="AP27">
        <v>0.0022521328044271</v>
      </c>
    </row>
    <row r="28" spans="1:42" ht="12.75">
      <c r="A28" t="s">
        <v>6</v>
      </c>
      <c r="B28">
        <v>0.00470286146417937</v>
      </c>
      <c r="C28">
        <v>0.00469941735474387</v>
      </c>
      <c r="D28">
        <v>0.00471398509256918</v>
      </c>
      <c r="E28">
        <v>0.00474724712196923</v>
      </c>
      <c r="F28">
        <v>0.00469989062701702</v>
      </c>
      <c r="G28">
        <v>0.004844290500897</v>
      </c>
      <c r="H28">
        <v>0.00489274676404989</v>
      </c>
      <c r="I28">
        <v>0.00492622719786348</v>
      </c>
      <c r="J28">
        <v>0.00496170546095407</v>
      </c>
      <c r="K28">
        <v>0.00500610421153182</v>
      </c>
      <c r="L28">
        <v>0.00504635595274474</v>
      </c>
      <c r="M28">
        <v>0.00508632858792208</v>
      </c>
      <c r="N28">
        <v>0.00550493691685794</v>
      </c>
      <c r="O28">
        <v>0.00565937803827377</v>
      </c>
      <c r="P28">
        <v>0.00565476070573649</v>
      </c>
      <c r="Q28">
        <v>0.00491503294589353</v>
      </c>
      <c r="R28">
        <v>0.00490557781444232</v>
      </c>
      <c r="S28">
        <v>0.00482217546124336</v>
      </c>
      <c r="T28">
        <v>0.0047405266212469</v>
      </c>
      <c r="U28">
        <v>0.00466128058897967</v>
      </c>
      <c r="V28">
        <v>0.0045848370368526</v>
      </c>
      <c r="W28">
        <v>0.00451084828025847</v>
      </c>
      <c r="X28">
        <v>0.00443822178398512</v>
      </c>
      <c r="Y28">
        <v>0.00436544356065655</v>
      </c>
      <c r="Z28">
        <v>0.00429153273043368</v>
      </c>
      <c r="AA28">
        <v>0.00421636904602467</v>
      </c>
      <c r="AB28">
        <v>0.00414096603024269</v>
      </c>
      <c r="AC28">
        <v>0.00406727105351185</v>
      </c>
      <c r="AD28">
        <v>0.00399709363266893</v>
      </c>
      <c r="AE28">
        <v>0.00393108823044137</v>
      </c>
      <c r="AF28">
        <v>0.00386867408927761</v>
      </c>
      <c r="AG28">
        <v>0.00380850904833605</v>
      </c>
      <c r="AH28">
        <v>0.00374894725722793</v>
      </c>
      <c r="AI28">
        <v>0.00368861197678961</v>
      </c>
      <c r="AJ28">
        <v>0.00362676149139977</v>
      </c>
      <c r="AK28">
        <v>0.00356365734371276</v>
      </c>
      <c r="AL28">
        <v>0.00350060278216374</v>
      </c>
      <c r="AM28">
        <v>0.00343934335002619</v>
      </c>
      <c r="AN28">
        <v>0.00338159866221604</v>
      </c>
      <c r="AO28">
        <v>0.00332796577928244</v>
      </c>
      <c r="AP28">
        <v>0.00327795244356359</v>
      </c>
    </row>
    <row r="29" spans="1:42" ht="12.75">
      <c r="A29" t="s">
        <v>7</v>
      </c>
      <c r="B29">
        <v>0.00709136840837656</v>
      </c>
      <c r="C29">
        <v>0.00708086285794569</v>
      </c>
      <c r="D29">
        <v>0.00706620562097265</v>
      </c>
      <c r="E29">
        <v>0.00703520882319881</v>
      </c>
      <c r="F29">
        <v>0.00686924066369013</v>
      </c>
      <c r="G29">
        <v>0.00692404954958448</v>
      </c>
      <c r="H29">
        <v>0.00686698773039479</v>
      </c>
      <c r="I29">
        <v>0.0068135707962459</v>
      </c>
      <c r="J29">
        <v>0.00678619017390493</v>
      </c>
      <c r="K29">
        <v>0.00678604365218577</v>
      </c>
      <c r="L29">
        <v>0.00678841408456626</v>
      </c>
      <c r="M29">
        <v>0.00679001860469821</v>
      </c>
      <c r="N29">
        <v>0.00733155857311102</v>
      </c>
      <c r="O29">
        <v>0.00768501292549075</v>
      </c>
      <c r="P29">
        <v>0.00792547514805814</v>
      </c>
      <c r="Q29">
        <v>0.00727492800497822</v>
      </c>
      <c r="R29">
        <v>0.00691059732481251</v>
      </c>
      <c r="S29">
        <v>0.00679977060676587</v>
      </c>
      <c r="T29">
        <v>0.00669158406387092</v>
      </c>
      <c r="U29">
        <v>0.00658584471767319</v>
      </c>
      <c r="V29">
        <v>0.00648225785158495</v>
      </c>
      <c r="W29">
        <v>0.00638059688343327</v>
      </c>
      <c r="X29">
        <v>0.00628048266286381</v>
      </c>
      <c r="Y29">
        <v>0.00618213438242005</v>
      </c>
      <c r="Z29">
        <v>0.0060862837862363</v>
      </c>
      <c r="AA29">
        <v>0.00599347736209171</v>
      </c>
      <c r="AB29">
        <v>0.00590351192285967</v>
      </c>
      <c r="AC29">
        <v>0.00581526115750377</v>
      </c>
      <c r="AD29">
        <v>0.00572703272423595</v>
      </c>
      <c r="AE29">
        <v>0.00563769516670762</v>
      </c>
      <c r="AF29">
        <v>0.00554707533221392</v>
      </c>
      <c r="AG29">
        <v>0.00545624653122155</v>
      </c>
      <c r="AH29">
        <v>0.00536738535489873</v>
      </c>
      <c r="AI29">
        <v>0.00528257035396874</v>
      </c>
      <c r="AJ29">
        <v>0.00520259205404018</v>
      </c>
      <c r="AK29">
        <v>0.00512680141207156</v>
      </c>
      <c r="AL29">
        <v>0.00505367949247636</v>
      </c>
      <c r="AM29">
        <v>0.00498129833268755</v>
      </c>
      <c r="AN29">
        <v>0.00490806186452891</v>
      </c>
      <c r="AO29">
        <v>0.00483308831553886</v>
      </c>
      <c r="AP29">
        <v>0.00475667315597084</v>
      </c>
    </row>
    <row r="30" spans="1:42" ht="12.75">
      <c r="A30" t="s">
        <v>8</v>
      </c>
      <c r="B30">
        <v>0.0105618618256561</v>
      </c>
      <c r="C30">
        <v>0.0104865773147408</v>
      </c>
      <c r="D30">
        <v>0.010419046387893</v>
      </c>
      <c r="E30">
        <v>0.0103567259459409</v>
      </c>
      <c r="F30">
        <v>0.0101500643020497</v>
      </c>
      <c r="G30">
        <v>0.0102314934302617</v>
      </c>
      <c r="H30">
        <v>0.0101601875733295</v>
      </c>
      <c r="I30">
        <v>0.0100562053779749</v>
      </c>
      <c r="J30">
        <v>0.00994231109262754</v>
      </c>
      <c r="K30">
        <v>0.00983762213773996</v>
      </c>
      <c r="L30">
        <v>0.0097154976647166</v>
      </c>
      <c r="M30">
        <v>0.0095974479896418</v>
      </c>
      <c r="N30">
        <v>0.0100407403503326</v>
      </c>
      <c r="O30">
        <v>0.0103414691329614</v>
      </c>
      <c r="P30">
        <v>0.0108277487418926</v>
      </c>
      <c r="Q30">
        <v>0.0103969460056905</v>
      </c>
      <c r="R30">
        <v>0.00991203270465733</v>
      </c>
      <c r="S30">
        <v>0.00975887816199388</v>
      </c>
      <c r="T30">
        <v>0.00960785415111446</v>
      </c>
      <c r="U30">
        <v>0.0094589521206612</v>
      </c>
      <c r="V30">
        <v>0.00931286921032675</v>
      </c>
      <c r="W30">
        <v>0.00917023767610579</v>
      </c>
      <c r="X30">
        <v>0.00903123819843417</v>
      </c>
      <c r="Y30">
        <v>0.00889549261844516</v>
      </c>
      <c r="Z30">
        <v>0.0087625666832453</v>
      </c>
      <c r="AA30">
        <v>0.00863197508719084</v>
      </c>
      <c r="AB30">
        <v>0.00850343685006555</v>
      </c>
      <c r="AC30">
        <v>0.00837642872832416</v>
      </c>
      <c r="AD30">
        <v>0.00825140571038315</v>
      </c>
      <c r="AE30">
        <v>0.00812965938393095</v>
      </c>
      <c r="AF30">
        <v>0.00801214358050143</v>
      </c>
      <c r="AG30">
        <v>0.00789853819334007</v>
      </c>
      <c r="AH30">
        <v>0.00778715176759644</v>
      </c>
      <c r="AI30">
        <v>0.00767545161790158</v>
      </c>
      <c r="AJ30">
        <v>0.00756172096300325</v>
      </c>
      <c r="AK30">
        <v>0.00744568094567191</v>
      </c>
      <c r="AL30">
        <v>0.00732901354668447</v>
      </c>
      <c r="AM30">
        <v>0.00721499008272808</v>
      </c>
      <c r="AN30">
        <v>0.00710669533616861</v>
      </c>
      <c r="AO30">
        <v>0.00700525538407858</v>
      </c>
      <c r="AP30">
        <v>0.00690968983713821</v>
      </c>
    </row>
    <row r="31" spans="1:42" ht="12.75">
      <c r="A31" t="s">
        <v>9</v>
      </c>
      <c r="B31">
        <v>0.0148275610609215</v>
      </c>
      <c r="C31">
        <v>0.014891580974904</v>
      </c>
      <c r="D31">
        <v>0.014954101372831</v>
      </c>
      <c r="E31">
        <v>0.0150033201208004</v>
      </c>
      <c r="F31">
        <v>0.0148623404102513</v>
      </c>
      <c r="G31">
        <v>0.0150264817752899</v>
      </c>
      <c r="H31">
        <v>0.0150095728059469</v>
      </c>
      <c r="I31">
        <v>0.0149631374064638</v>
      </c>
      <c r="J31">
        <v>0.0149283885401172</v>
      </c>
      <c r="K31">
        <v>0.0149383442131036</v>
      </c>
      <c r="L31">
        <v>0.0149456824591102</v>
      </c>
      <c r="M31">
        <v>0.0149525601790672</v>
      </c>
      <c r="N31">
        <v>0.0151667331771359</v>
      </c>
      <c r="O31">
        <v>0.0151384461548495</v>
      </c>
      <c r="P31">
        <v>0.0152454542502108</v>
      </c>
      <c r="Q31">
        <v>0.0148707300461765</v>
      </c>
      <c r="R31">
        <v>0.0146850348763917</v>
      </c>
      <c r="S31">
        <v>0.0144300061080006</v>
      </c>
      <c r="T31">
        <v>0.0141965069241186</v>
      </c>
      <c r="U31">
        <v>0.0139837909513817</v>
      </c>
      <c r="V31">
        <v>0.0137843873384457</v>
      </c>
      <c r="W31">
        <v>0.0135909674238824</v>
      </c>
      <c r="X31">
        <v>0.0134000650627166</v>
      </c>
      <c r="Y31">
        <v>0.0132114056329778</v>
      </c>
      <c r="Z31">
        <v>0.0130249828154888</v>
      </c>
      <c r="AA31">
        <v>0.0128418926745454</v>
      </c>
      <c r="AB31">
        <v>0.0126630933058141</v>
      </c>
      <c r="AC31">
        <v>0.0124887815044999</v>
      </c>
      <c r="AD31">
        <v>0.0123183467552483</v>
      </c>
      <c r="AE31">
        <v>0.0121510479456077</v>
      </c>
      <c r="AF31">
        <v>0.0119860792460316</v>
      </c>
      <c r="AG31">
        <v>0.011823061757569</v>
      </c>
      <c r="AH31">
        <v>0.0116612930418423</v>
      </c>
      <c r="AI31">
        <v>0.011501689270283</v>
      </c>
      <c r="AJ31">
        <v>0.0113466239302965</v>
      </c>
      <c r="AK31">
        <v>0.0111979039187956</v>
      </c>
      <c r="AL31">
        <v>0.0110548878149273</v>
      </c>
      <c r="AM31">
        <v>0.0109146382943229</v>
      </c>
      <c r="AN31">
        <v>0.0107729012550481</v>
      </c>
      <c r="AO31">
        <v>0.0106267391490338</v>
      </c>
      <c r="AP31">
        <v>0.0104755274577406</v>
      </c>
    </row>
    <row r="32" spans="1:42" ht="12.75">
      <c r="A32" t="s">
        <v>10</v>
      </c>
      <c r="B32">
        <v>0.0210334241697119</v>
      </c>
      <c r="C32">
        <v>0.0210228737298158</v>
      </c>
      <c r="D32">
        <v>0.0210571587998216</v>
      </c>
      <c r="E32">
        <v>0.0211467876445423</v>
      </c>
      <c r="F32">
        <v>0.0211148546016861</v>
      </c>
      <c r="G32">
        <v>0.0214253371227416</v>
      </c>
      <c r="H32">
        <v>0.0215685530813635</v>
      </c>
      <c r="I32">
        <v>0.021669860718987</v>
      </c>
      <c r="J32">
        <v>0.0217532623429505</v>
      </c>
      <c r="K32">
        <v>0.0218534361964672</v>
      </c>
      <c r="L32">
        <v>0.0219190686170308</v>
      </c>
      <c r="M32">
        <v>0.0219712114476277</v>
      </c>
      <c r="N32">
        <v>0.0217120158727098</v>
      </c>
      <c r="O32">
        <v>0.0216024316980037</v>
      </c>
      <c r="P32">
        <v>0.0219825235711983</v>
      </c>
      <c r="Q32">
        <v>0.0214504678391611</v>
      </c>
      <c r="R32">
        <v>0.0209836165439778</v>
      </c>
      <c r="S32">
        <v>0.0207353197367803</v>
      </c>
      <c r="T32">
        <v>0.0204722490219832</v>
      </c>
      <c r="U32">
        <v>0.0201849721831031</v>
      </c>
      <c r="V32">
        <v>0.0198746351090013</v>
      </c>
      <c r="W32">
        <v>0.0195535207668573</v>
      </c>
      <c r="X32">
        <v>0.019244397263056</v>
      </c>
      <c r="Y32">
        <v>0.0189620003485539</v>
      </c>
      <c r="Z32">
        <v>0.0187058505795905</v>
      </c>
      <c r="AA32">
        <v>0.0184665757773575</v>
      </c>
      <c r="AB32">
        <v>0.0182346394947566</v>
      </c>
      <c r="AC32">
        <v>0.0180053946361951</v>
      </c>
      <c r="AD32">
        <v>0.0177786215024809</v>
      </c>
      <c r="AE32">
        <v>0.0175541627229655</v>
      </c>
      <c r="AF32">
        <v>0.0173332803949356</v>
      </c>
      <c r="AG32">
        <v>0.0171171225135968</v>
      </c>
      <c r="AH32">
        <v>0.0169059022960245</v>
      </c>
      <c r="AI32">
        <v>0.0166987944348915</v>
      </c>
      <c r="AJ32">
        <v>0.0164949349462012</v>
      </c>
      <c r="AK32">
        <v>0.0162934366428744</v>
      </c>
      <c r="AL32">
        <v>0.0160939436484348</v>
      </c>
      <c r="AM32">
        <v>0.0158957629674652</v>
      </c>
      <c r="AN32">
        <v>0.0157001763256331</v>
      </c>
      <c r="AO32">
        <v>0.0155101146704526</v>
      </c>
      <c r="AP32">
        <v>0.0153277173524166</v>
      </c>
    </row>
    <row r="33" spans="1:42" ht="12.75">
      <c r="A33" t="s">
        <v>11</v>
      </c>
      <c r="B33">
        <v>0.0301295677450307</v>
      </c>
      <c r="C33">
        <v>0.0301989974343034</v>
      </c>
      <c r="D33">
        <v>0.0302830847030857</v>
      </c>
      <c r="E33">
        <v>0.0303520736842395</v>
      </c>
      <c r="F33">
        <v>0.0302073491694493</v>
      </c>
      <c r="G33">
        <v>0.0302727412781528</v>
      </c>
      <c r="H33">
        <v>0.0302102250616808</v>
      </c>
      <c r="I33">
        <v>0.0301780904606841</v>
      </c>
      <c r="J33">
        <v>0.0302225370943625</v>
      </c>
      <c r="K33">
        <v>0.0303604032290169</v>
      </c>
      <c r="L33">
        <v>0.0305158112112659</v>
      </c>
      <c r="M33">
        <v>0.0306719261837851</v>
      </c>
      <c r="N33">
        <v>0.0305369664693968</v>
      </c>
      <c r="O33">
        <v>0.0305717230829113</v>
      </c>
      <c r="P33">
        <v>0.03098530688472</v>
      </c>
      <c r="Q33">
        <v>0.0306190238477639</v>
      </c>
      <c r="R33">
        <v>0.0302996354937788</v>
      </c>
      <c r="S33">
        <v>0.0298613783094611</v>
      </c>
      <c r="T33">
        <v>0.0294479166412611</v>
      </c>
      <c r="U33">
        <v>0.0290694499437532</v>
      </c>
      <c r="V33">
        <v>0.0287258201089999</v>
      </c>
      <c r="W33">
        <v>0.0284038383287499</v>
      </c>
      <c r="X33">
        <v>0.0280864300417708</v>
      </c>
      <c r="Y33">
        <v>0.0277506513367485</v>
      </c>
      <c r="Z33">
        <v>0.0273826733700155</v>
      </c>
      <c r="AA33">
        <v>0.0269829439475726</v>
      </c>
      <c r="AB33">
        <v>0.0265664932117645</v>
      </c>
      <c r="AC33">
        <v>0.0261640553822421</v>
      </c>
      <c r="AD33">
        <v>0.0257966717482443</v>
      </c>
      <c r="AE33">
        <v>0.025465811389611</v>
      </c>
      <c r="AF33">
        <v>0.0251594583541048</v>
      </c>
      <c r="AG33">
        <v>0.0248639300431479</v>
      </c>
      <c r="AH33">
        <v>0.0245719913455016</v>
      </c>
      <c r="AI33">
        <v>0.0242835346072293</v>
      </c>
      <c r="AJ33">
        <v>0.0239978147744265</v>
      </c>
      <c r="AK33">
        <v>0.0237164621458811</v>
      </c>
      <c r="AL33">
        <v>0.0234413189308601</v>
      </c>
      <c r="AM33">
        <v>0.0231728930897962</v>
      </c>
      <c r="AN33">
        <v>0.0229099162737315</v>
      </c>
      <c r="AO33">
        <v>0.0226512671544078</v>
      </c>
      <c r="AP33">
        <v>0.0223956917811733</v>
      </c>
    </row>
    <row r="34" spans="1:42" ht="12.75">
      <c r="A34" t="s">
        <v>12</v>
      </c>
      <c r="B34">
        <v>0.0424678087242012</v>
      </c>
      <c r="C34">
        <v>0.0428206470929284</v>
      </c>
      <c r="D34">
        <v>0.0430302555673476</v>
      </c>
      <c r="E34">
        <v>0.0431993448644611</v>
      </c>
      <c r="F34">
        <v>0.0432367551519769</v>
      </c>
      <c r="G34">
        <v>0.0433505672251971</v>
      </c>
      <c r="H34">
        <v>0.0433519673321465</v>
      </c>
      <c r="I34">
        <v>0.0433669168029676</v>
      </c>
      <c r="J34">
        <v>0.0433696707255461</v>
      </c>
      <c r="K34">
        <v>0.0432832999875954</v>
      </c>
      <c r="L34">
        <v>0.0431163105857672</v>
      </c>
      <c r="M34">
        <v>0.0429440313069827</v>
      </c>
      <c r="N34">
        <v>0.0428979758914797</v>
      </c>
      <c r="O34">
        <v>0.0429554540677395</v>
      </c>
      <c r="P34">
        <v>0.0431350305349569</v>
      </c>
      <c r="Q34">
        <v>0.0432467912719091</v>
      </c>
      <c r="R34">
        <v>0.0433590773473913</v>
      </c>
      <c r="S34">
        <v>0.0431069951261079</v>
      </c>
      <c r="T34">
        <v>0.0428232687599587</v>
      </c>
      <c r="U34">
        <v>0.0424995931342197</v>
      </c>
      <c r="V34">
        <v>0.0421440880720464</v>
      </c>
      <c r="W34">
        <v>0.04177509154963</v>
      </c>
      <c r="X34">
        <v>0.041416274229055</v>
      </c>
      <c r="Y34">
        <v>0.0410859112080373</v>
      </c>
      <c r="Z34">
        <v>0.0407999219525558</v>
      </c>
      <c r="AA34">
        <v>0.0405590127809812</v>
      </c>
      <c r="AB34">
        <v>0.0403445012298652</v>
      </c>
      <c r="AC34">
        <v>0.0401313165616525</v>
      </c>
      <c r="AD34">
        <v>0.0398845261764764</v>
      </c>
      <c r="AE34">
        <v>0.0395822349758096</v>
      </c>
      <c r="AF34">
        <v>0.0392244226435983</v>
      </c>
      <c r="AG34">
        <v>0.0388333422726502</v>
      </c>
      <c r="AH34">
        <v>0.0384562562770221</v>
      </c>
      <c r="AI34">
        <v>0.038126160244875</v>
      </c>
      <c r="AJ34">
        <v>0.0378463254331651</v>
      </c>
      <c r="AK34">
        <v>0.0375988706296275</v>
      </c>
      <c r="AL34">
        <v>0.0373626966085337</v>
      </c>
      <c r="AM34">
        <v>0.0371264144035181</v>
      </c>
      <c r="AN34">
        <v>0.0368899921260767</v>
      </c>
      <c r="AO34">
        <v>0.036652281151905</v>
      </c>
      <c r="AP34">
        <v>0.0364159149883747</v>
      </c>
    </row>
    <row r="35" spans="1:42" ht="12.75">
      <c r="A35" t="s">
        <v>13</v>
      </c>
      <c r="B35">
        <v>0.0602632268014429</v>
      </c>
      <c r="C35">
        <v>0.0605141670599489</v>
      </c>
      <c r="D35">
        <v>0.0607246750028091</v>
      </c>
      <c r="E35">
        <v>0.0611663509552702</v>
      </c>
      <c r="F35">
        <v>0.0617427328912013</v>
      </c>
      <c r="G35">
        <v>0.0621214426622649</v>
      </c>
      <c r="H35">
        <v>0.0624400362356527</v>
      </c>
      <c r="I35">
        <v>0.0625696910280834</v>
      </c>
      <c r="J35">
        <v>0.0626370946822976</v>
      </c>
      <c r="K35">
        <v>0.0626111853123585</v>
      </c>
      <c r="L35">
        <v>0.0625335129410795</v>
      </c>
      <c r="M35">
        <v>0.0623960501208128</v>
      </c>
      <c r="N35">
        <v>0.0625292354944321</v>
      </c>
      <c r="O35">
        <v>0.0626044466033088</v>
      </c>
      <c r="P35">
        <v>0.0624709160493266</v>
      </c>
      <c r="Q35">
        <v>0.0622357062218959</v>
      </c>
      <c r="R35">
        <v>0.061943167017065</v>
      </c>
      <c r="S35">
        <v>0.061606303337423</v>
      </c>
      <c r="T35">
        <v>0.0613886971254295</v>
      </c>
      <c r="U35">
        <v>0.0612849457062653</v>
      </c>
      <c r="V35">
        <v>0.0612495087308409</v>
      </c>
      <c r="W35">
        <v>0.0612318631966027</v>
      </c>
      <c r="X35">
        <v>0.0611907546744729</v>
      </c>
      <c r="Y35">
        <v>0.0610998576391161</v>
      </c>
      <c r="Z35">
        <v>0.0609477070741827</v>
      </c>
      <c r="AA35">
        <v>0.0607461288906099</v>
      </c>
      <c r="AB35">
        <v>0.0605216823196229</v>
      </c>
      <c r="AC35">
        <v>0.0603080124569879</v>
      </c>
      <c r="AD35">
        <v>0.0601310950769334</v>
      </c>
      <c r="AE35">
        <v>0.0600131050215085</v>
      </c>
      <c r="AF35">
        <v>0.0599548898424043</v>
      </c>
      <c r="AG35">
        <v>0.0599289611190504</v>
      </c>
      <c r="AH35">
        <v>0.0598986994167956</v>
      </c>
      <c r="AI35">
        <v>0.0598149079864362</v>
      </c>
      <c r="AJ35">
        <v>0.0596480870672612</v>
      </c>
      <c r="AK35">
        <v>0.0593986562754708</v>
      </c>
      <c r="AL35">
        <v>0.0591012485370673</v>
      </c>
      <c r="AM35">
        <v>0.0588235130169537</v>
      </c>
      <c r="AN35">
        <v>0.0586112712164912</v>
      </c>
      <c r="AO35">
        <v>0.0584651677196483</v>
      </c>
      <c r="AP35">
        <v>0.0583584586828198</v>
      </c>
    </row>
    <row r="36" spans="1:42" ht="12.75">
      <c r="A36" t="s">
        <v>14</v>
      </c>
      <c r="B36">
        <v>0.0853388234197495</v>
      </c>
      <c r="C36">
        <v>0.0859198960203976</v>
      </c>
      <c r="D36">
        <v>0.0863400269439651</v>
      </c>
      <c r="E36">
        <v>0.0866452781701336</v>
      </c>
      <c r="F36">
        <v>0.0871054684883369</v>
      </c>
      <c r="G36">
        <v>0.0872051691947453</v>
      </c>
      <c r="H36">
        <v>0.0875591634500847</v>
      </c>
      <c r="I36">
        <v>0.0878623934655771</v>
      </c>
      <c r="J36">
        <v>0.0884898882108185</v>
      </c>
      <c r="K36">
        <v>0.0891618545062742</v>
      </c>
      <c r="L36">
        <v>0.0897239548839495</v>
      </c>
      <c r="M36">
        <v>0.0900341257251506</v>
      </c>
      <c r="N36">
        <v>0.0903944408935458</v>
      </c>
      <c r="O36">
        <v>0.0905882393143735</v>
      </c>
      <c r="P36">
        <v>0.090639810634316</v>
      </c>
      <c r="Q36">
        <v>0.0906222003787765</v>
      </c>
      <c r="R36">
        <v>0.0905227132030384</v>
      </c>
      <c r="S36">
        <v>0.0906100340337227</v>
      </c>
      <c r="T36">
        <v>0.090622577473621</v>
      </c>
      <c r="U36">
        <v>0.0904073768705615</v>
      </c>
      <c r="V36">
        <v>0.0899775609062155</v>
      </c>
      <c r="W36">
        <v>0.0894653089387168</v>
      </c>
      <c r="X36">
        <v>0.0890366249549827</v>
      </c>
      <c r="Y36">
        <v>0.0888015862763691</v>
      </c>
      <c r="Z36">
        <v>0.0887511682217394</v>
      </c>
      <c r="AA36">
        <v>0.0888117954491774</v>
      </c>
      <c r="AB36">
        <v>0.0889012871104718</v>
      </c>
      <c r="AC36">
        <v>0.088952142681039</v>
      </c>
      <c r="AD36">
        <v>0.0889209153125538</v>
      </c>
      <c r="AE36">
        <v>0.0887886217741944</v>
      </c>
      <c r="AF36">
        <v>0.0885746290806352</v>
      </c>
      <c r="AG36">
        <v>0.0883228043060709</v>
      </c>
      <c r="AH36">
        <v>0.0880885131773763</v>
      </c>
      <c r="AI36">
        <v>0.0879143847627218</v>
      </c>
      <c r="AJ36">
        <v>0.0878369985470951</v>
      </c>
      <c r="AK36">
        <v>0.0878577204825813</v>
      </c>
      <c r="AL36">
        <v>0.0879308262899641</v>
      </c>
      <c r="AM36">
        <v>0.0879960588593765</v>
      </c>
      <c r="AN36">
        <v>0.0879718309466287</v>
      </c>
      <c r="AO36">
        <v>0.0878092009366537</v>
      </c>
      <c r="AP36">
        <v>0.08750926699255</v>
      </c>
    </row>
    <row r="37" spans="1:42" ht="12.75">
      <c r="A37" t="s">
        <v>15</v>
      </c>
      <c r="B37">
        <v>0.13496412072621</v>
      </c>
      <c r="C37">
        <v>0.138213468233409</v>
      </c>
      <c r="D37">
        <v>0.139521604148347</v>
      </c>
      <c r="E37">
        <v>0.139668043102106</v>
      </c>
      <c r="F37">
        <v>0.140050525309633</v>
      </c>
      <c r="G37">
        <v>0.140034644057344</v>
      </c>
      <c r="H37">
        <v>0.140152534007769</v>
      </c>
      <c r="I37">
        <v>0.140027986522403</v>
      </c>
      <c r="J37">
        <v>0.139790937387954</v>
      </c>
      <c r="K37">
        <v>0.139474976370848</v>
      </c>
      <c r="L37">
        <v>0.139210868614711</v>
      </c>
      <c r="M37">
        <v>0.138844435705756</v>
      </c>
      <c r="N37">
        <v>0.139201957585343</v>
      </c>
      <c r="O37">
        <v>0.140335314930139</v>
      </c>
      <c r="P37">
        <v>0.141628157466322</v>
      </c>
      <c r="Q37">
        <v>0.142732773559142</v>
      </c>
      <c r="R37">
        <v>0.143631831666806</v>
      </c>
      <c r="S37">
        <v>0.145088988205612</v>
      </c>
      <c r="T37">
        <v>0.14629227252036</v>
      </c>
      <c r="U37">
        <v>0.147261907037755</v>
      </c>
      <c r="V37">
        <v>0.148200121036499</v>
      </c>
      <c r="W37">
        <v>0.149148384950167</v>
      </c>
      <c r="X37">
        <v>0.150043384234589</v>
      </c>
      <c r="Y37">
        <v>0.150781953611865</v>
      </c>
      <c r="Z37">
        <v>0.151195754741516</v>
      </c>
      <c r="AA37">
        <v>0.151153411726168</v>
      </c>
      <c r="AB37">
        <v>0.150723993371765</v>
      </c>
      <c r="AC37">
        <v>0.150099678510222</v>
      </c>
      <c r="AD37">
        <v>0.149510460356059</v>
      </c>
      <c r="AE37">
        <v>0.14910950083819</v>
      </c>
      <c r="AF37">
        <v>0.14897021485512</v>
      </c>
      <c r="AG37">
        <v>0.149051966526427</v>
      </c>
      <c r="AH37">
        <v>0.149260305631441</v>
      </c>
      <c r="AI37">
        <v>0.14947456776106</v>
      </c>
      <c r="AJ37">
        <v>0.149599586576208</v>
      </c>
      <c r="AK37">
        <v>0.149574011409193</v>
      </c>
      <c r="AL37">
        <v>0.149403972326001</v>
      </c>
      <c r="AM37">
        <v>0.14914523245754</v>
      </c>
      <c r="AN37">
        <v>0.148885397474701</v>
      </c>
      <c r="AO37">
        <v>0.148734264504747</v>
      </c>
      <c r="AP37">
        <v>0.148768109890465</v>
      </c>
    </row>
    <row r="39" ht="12.75">
      <c r="A39" t="s">
        <v>18</v>
      </c>
    </row>
    <row r="40" spans="1:42" ht="12.75">
      <c r="A40">
        <v>0</v>
      </c>
      <c r="B40">
        <v>0.0247662494299098</v>
      </c>
      <c r="C40">
        <v>0.0241790503888004</v>
      </c>
      <c r="D40">
        <v>0.0236392474108931</v>
      </c>
      <c r="E40">
        <v>0.0231273000909872</v>
      </c>
      <c r="F40">
        <v>0.0213988472867559</v>
      </c>
      <c r="G40">
        <v>0.0220035473962474</v>
      </c>
      <c r="H40">
        <v>0.021419746426623</v>
      </c>
      <c r="I40">
        <v>0.0206433741024764</v>
      </c>
      <c r="J40">
        <v>0.0199808360320357</v>
      </c>
      <c r="K40">
        <v>0.0196445182718368</v>
      </c>
      <c r="L40">
        <v>0.0192169431493974</v>
      </c>
      <c r="M40">
        <v>0.0187382970470595</v>
      </c>
      <c r="N40">
        <v>0.0183916711310669</v>
      </c>
      <c r="O40">
        <v>0.0179159479382982</v>
      </c>
      <c r="P40">
        <v>0.0174640861603571</v>
      </c>
      <c r="Q40">
        <v>0.0170149768991117</v>
      </c>
      <c r="R40">
        <v>0.0165676627204505</v>
      </c>
      <c r="S40">
        <v>0.0161228640270263</v>
      </c>
      <c r="T40">
        <v>0.0156914946848202</v>
      </c>
      <c r="U40">
        <v>0.0152731376165848</v>
      </c>
      <c r="V40">
        <v>0.0148673893622696</v>
      </c>
      <c r="W40">
        <v>0.0144738595958536</v>
      </c>
      <c r="X40">
        <v>0.0140921706615744</v>
      </c>
      <c r="Y40">
        <v>0.013721957128651</v>
      </c>
      <c r="Z40">
        <v>0.0133628653636308</v>
      </c>
      <c r="AA40">
        <v>0.0130145531195578</v>
      </c>
      <c r="AB40">
        <v>0.012676689141186</v>
      </c>
      <c r="AC40">
        <v>0.0123489527855152</v>
      </c>
      <c r="AD40">
        <v>0.0120310336569588</v>
      </c>
      <c r="AE40">
        <v>0.0117226312564896</v>
      </c>
      <c r="AF40">
        <v>0.01142345464415</v>
      </c>
      <c r="AG40">
        <v>0.0111332221143327</v>
      </c>
      <c r="AH40">
        <v>0.0108516608832855</v>
      </c>
      <c r="AI40">
        <v>0.010578506788303</v>
      </c>
      <c r="AJ40">
        <v>0.0103135039981102</v>
      </c>
      <c r="AK40">
        <v>0.0100564047339577</v>
      </c>
      <c r="AL40">
        <v>0.00980696900098166</v>
      </c>
      <c r="AM40">
        <v>0.0095649643293898</v>
      </c>
      <c r="AN40">
        <v>0.00933016552507271</v>
      </c>
      <c r="AO40">
        <v>0.00910235442924578</v>
      </c>
      <c r="AP40">
        <v>0.00888131968675332</v>
      </c>
    </row>
    <row r="41" spans="1:42" ht="12.75">
      <c r="A41">
        <v>1</v>
      </c>
      <c r="B41">
        <v>0.00971788063600099</v>
      </c>
      <c r="C41">
        <v>0.00949444722132764</v>
      </c>
      <c r="D41">
        <v>0.00925610418213973</v>
      </c>
      <c r="E41">
        <v>0.00902247488009389</v>
      </c>
      <c r="F41">
        <v>0.00832286311685393</v>
      </c>
      <c r="G41">
        <v>0.00851304821265564</v>
      </c>
      <c r="H41">
        <v>0.00823972174570797</v>
      </c>
      <c r="I41">
        <v>0.00791088674842977</v>
      </c>
      <c r="J41">
        <v>0.00761395300722911</v>
      </c>
      <c r="K41">
        <v>0.00743559127725635</v>
      </c>
      <c r="L41">
        <v>0.00724635031067611</v>
      </c>
      <c r="M41">
        <v>0.00704203207512044</v>
      </c>
      <c r="N41">
        <v>0.00685475192097207</v>
      </c>
      <c r="O41">
        <v>0.00667748986357619</v>
      </c>
      <c r="P41">
        <v>0.00646085183377287</v>
      </c>
      <c r="Q41">
        <v>0.00623803767377551</v>
      </c>
      <c r="R41">
        <v>0.00601695075363107</v>
      </c>
      <c r="S41">
        <v>0.00585563614306717</v>
      </c>
      <c r="T41">
        <v>0.00569929943306724</v>
      </c>
      <c r="U41">
        <v>0.00554778650272192</v>
      </c>
      <c r="V41">
        <v>0.00540094803335567</v>
      </c>
      <c r="W41">
        <v>0.00525863935703375</v>
      </c>
      <c r="X41">
        <v>0.0051207203099638</v>
      </c>
      <c r="Y41">
        <v>0.0049870550906248</v>
      </c>
      <c r="Z41">
        <v>0.00485751212246732</v>
      </c>
      <c r="AA41">
        <v>0.0047319639210277</v>
      </c>
      <c r="AB41">
        <v>0.00461028696531196</v>
      </c>
      <c r="AC41">
        <v>0.00449236157330468</v>
      </c>
      <c r="AD41">
        <v>0.00437807178146654</v>
      </c>
      <c r="AE41">
        <v>0.00426730522808627</v>
      </c>
      <c r="AF41">
        <v>0.00415995304036165</v>
      </c>
      <c r="AG41">
        <v>0.00405590972508407</v>
      </c>
      <c r="AH41">
        <v>0.00395507306280884</v>
      </c>
      <c r="AI41">
        <v>0.00385734400539472</v>
      </c>
      <c r="AJ41">
        <v>0.00376262657680548</v>
      </c>
      <c r="AK41">
        <v>0.00367082777706207</v>
      </c>
      <c r="AL41">
        <v>0.00358185748924533</v>
      </c>
      <c r="AM41">
        <v>0.00349562838944728</v>
      </c>
      <c r="AN41">
        <v>0.00341205585957793</v>
      </c>
      <c r="AO41">
        <v>0.00333105790292998</v>
      </c>
      <c r="AP41">
        <v>0.00325255506241695</v>
      </c>
    </row>
    <row r="42" spans="1:42" ht="12.75">
      <c r="A42">
        <v>2</v>
      </c>
      <c r="B42">
        <v>0.00368092270142828</v>
      </c>
      <c r="C42">
        <v>0.00359418986371818</v>
      </c>
      <c r="D42">
        <v>0.00352420174028045</v>
      </c>
      <c r="E42">
        <v>0.00344191171751107</v>
      </c>
      <c r="F42">
        <v>0.0031807069063251</v>
      </c>
      <c r="G42">
        <v>0.00325700107127247</v>
      </c>
      <c r="H42">
        <v>0.00315369788843145</v>
      </c>
      <c r="I42">
        <v>0.00302667578963578</v>
      </c>
      <c r="J42">
        <v>0.00291615784743349</v>
      </c>
      <c r="K42">
        <v>0.00284629269479442</v>
      </c>
      <c r="L42">
        <v>0.00277184241491135</v>
      </c>
      <c r="M42">
        <v>0.00270343218089697</v>
      </c>
      <c r="N42">
        <v>0.00263230809718673</v>
      </c>
      <c r="O42">
        <v>0.00256546487148923</v>
      </c>
      <c r="P42">
        <v>0.00249615791931834</v>
      </c>
      <c r="Q42">
        <v>0.00241746829214906</v>
      </c>
      <c r="R42">
        <v>0.00233801897796482</v>
      </c>
      <c r="S42">
        <v>0.00226975209960378</v>
      </c>
      <c r="T42">
        <v>0.00220354774578668</v>
      </c>
      <c r="U42">
        <v>0.0021393435293805</v>
      </c>
      <c r="V42">
        <v>0.002077078954415</v>
      </c>
      <c r="W42">
        <v>0.00201669535851856</v>
      </c>
      <c r="X42">
        <v>0.00195813585712579</v>
      </c>
      <c r="Y42">
        <v>0.00190134528939012</v>
      </c>
      <c r="Z42">
        <v>0.00184627016575767</v>
      </c>
      <c r="AA42">
        <v>0.0017928586171454</v>
      </c>
      <c r="AB42">
        <v>0.00174106034567489</v>
      </c>
      <c r="AC42">
        <v>0.00169082657691533</v>
      </c>
      <c r="AD42">
        <v>0.00164211001358638</v>
      </c>
      <c r="AE42">
        <v>0.0015948647906775</v>
      </c>
      <c r="AF42">
        <v>0.00154904643193865</v>
      </c>
      <c r="AG42">
        <v>0.00150461180770156</v>
      </c>
      <c r="AH42">
        <v>0.00146151909398862</v>
      </c>
      <c r="AI42">
        <v>0.00141972773287069</v>
      </c>
      <c r="AJ42">
        <v>0.00137919839403511</v>
      </c>
      <c r="AK42">
        <v>0.00133989293752657</v>
      </c>
      <c r="AL42">
        <v>0.0013017743776248</v>
      </c>
      <c r="AM42">
        <v>0.00126480684782349</v>
      </c>
      <c r="AN42">
        <v>0.00122895556687752</v>
      </c>
      <c r="AO42">
        <v>0.00119418680588423</v>
      </c>
      <c r="AP42">
        <v>0.00116046785636925</v>
      </c>
    </row>
    <row r="43" spans="1:42" ht="12.75">
      <c r="A43">
        <v>3</v>
      </c>
      <c r="B43">
        <v>0.00182955453268518</v>
      </c>
      <c r="C43">
        <v>0.00177973949288346</v>
      </c>
      <c r="D43">
        <v>0.0017424108406392</v>
      </c>
      <c r="E43">
        <v>0.00170795472490703</v>
      </c>
      <c r="F43">
        <v>0.0015823116137138</v>
      </c>
      <c r="G43">
        <v>0.00161824725293935</v>
      </c>
      <c r="H43">
        <v>0.00156799936179253</v>
      </c>
      <c r="I43">
        <v>0.00150479831395456</v>
      </c>
      <c r="J43">
        <v>0.00144909119218861</v>
      </c>
      <c r="K43">
        <v>0.00141537080756882</v>
      </c>
      <c r="L43">
        <v>0.00137698862517077</v>
      </c>
      <c r="M43">
        <v>0.0013417990676432</v>
      </c>
      <c r="N43">
        <v>0.0013091645648432</v>
      </c>
      <c r="O43">
        <v>0.00127496127286064</v>
      </c>
      <c r="P43">
        <v>0.0012426877316335</v>
      </c>
      <c r="Q43">
        <v>0.00120955116903576</v>
      </c>
      <c r="R43">
        <v>0.00117293628089588</v>
      </c>
      <c r="S43">
        <v>0.00113937843032375</v>
      </c>
      <c r="T43">
        <v>0.00110684278112161</v>
      </c>
      <c r="U43">
        <v>0.00107529818319385</v>
      </c>
      <c r="V43">
        <v>0.00104471443642173</v>
      </c>
      <c r="W43">
        <v>0.0010150622616516</v>
      </c>
      <c r="X43">
        <v>0.000986313272568484</v>
      </c>
      <c r="Y43">
        <v>0.000958439948432921</v>
      </c>
      <c r="Z43">
        <v>0.000931415607652752</v>
      </c>
      <c r="AA43">
        <v>0.000905214382162844</v>
      </c>
      <c r="AB43">
        <v>0.000879811192589064</v>
      </c>
      <c r="AC43">
        <v>0.000855181724173537</v>
      </c>
      <c r="AD43">
        <v>0.000831302403434986</v>
      </c>
      <c r="AE43">
        <v>0.000808150375544603</v>
      </c>
      <c r="AF43">
        <v>0.000785703482392042</v>
      </c>
      <c r="AG43">
        <v>0.000763940241324423</v>
      </c>
      <c r="AH43">
        <v>0.000742839824534047</v>
      </c>
      <c r="AI43">
        <v>0.000722382039077263</v>
      </c>
      <c r="AJ43">
        <v>0.000702547307503076</v>
      </c>
      <c r="AK43">
        <v>0.000683316649075283</v>
      </c>
      <c r="AL43">
        <v>0.000664671661567695</v>
      </c>
      <c r="AM43">
        <v>0.000646594503615927</v>
      </c>
      <c r="AN43">
        <v>0.000629067877608858</v>
      </c>
      <c r="AO43">
        <v>0.000612075013101787</v>
      </c>
      <c r="AP43">
        <v>0.000595599650737966</v>
      </c>
    </row>
    <row r="44" spans="1:42" ht="12.75">
      <c r="A44">
        <v>4</v>
      </c>
      <c r="B44">
        <v>0.00135445775815113</v>
      </c>
      <c r="C44">
        <v>0.00131588849696362</v>
      </c>
      <c r="D44">
        <v>0.00128534013917503</v>
      </c>
      <c r="E44">
        <v>0.00126023299447198</v>
      </c>
      <c r="F44">
        <v>0.00117431297783011</v>
      </c>
      <c r="G44">
        <v>0.0012037769350266</v>
      </c>
      <c r="H44">
        <v>0.00116865498438168</v>
      </c>
      <c r="I44">
        <v>0.00112442657952327</v>
      </c>
      <c r="J44">
        <v>0.00108444484171366</v>
      </c>
      <c r="K44">
        <v>0.00105992315920667</v>
      </c>
      <c r="L44">
        <v>0.00103318708185129</v>
      </c>
      <c r="M44">
        <v>0.00100697901971758</v>
      </c>
      <c r="N44">
        <v>0.000982884401900419</v>
      </c>
      <c r="O44">
        <v>0.000959813817120625</v>
      </c>
      <c r="P44">
        <v>0.000936603456548779</v>
      </c>
      <c r="Q44">
        <v>0.000914076004319364</v>
      </c>
      <c r="R44">
        <v>0.000890256862997152</v>
      </c>
      <c r="S44">
        <v>0.00086903421842921</v>
      </c>
      <c r="T44">
        <v>0.000848373635263577</v>
      </c>
      <c r="U44">
        <v>0.000828259818480448</v>
      </c>
      <c r="V44">
        <v>0.000808677899411303</v>
      </c>
      <c r="W44">
        <v>0.000789613423599511</v>
      </c>
      <c r="X44">
        <v>0.000771052339016198</v>
      </c>
      <c r="Y44">
        <v>0.000752980984614848</v>
      </c>
      <c r="Z44">
        <v>0.000735386079219413</v>
      </c>
      <c r="AA44">
        <v>0.000718254710733945</v>
      </c>
      <c r="AB44">
        <v>0.000701574325665533</v>
      </c>
      <c r="AC44">
        <v>0.00068533271894855</v>
      </c>
      <c r="AD44">
        <v>0.000669518024065452</v>
      </c>
      <c r="AE44">
        <v>0.000654118703451556</v>
      </c>
      <c r="AF44">
        <v>0.000639123539177278</v>
      </c>
      <c r="AG44">
        <v>0.000624521623900254</v>
      </c>
      <c r="AH44">
        <v>0.000610302352077707</v>
      </c>
      <c r="AI44">
        <v>0.000596455411432828</v>
      </c>
      <c r="AJ44">
        <v>0.000582970774665847</v>
      </c>
      <c r="AK44">
        <v>0.00056983869140681</v>
      </c>
      <c r="AL44">
        <v>0.000557049680395827</v>
      </c>
      <c r="AM44">
        <v>0.000544594521892261</v>
      </c>
      <c r="AN44">
        <v>0.000532464250300291</v>
      </c>
      <c r="AO44">
        <v>0.000520650147006751</v>
      </c>
      <c r="AP44">
        <v>0.000509143733424589</v>
      </c>
    </row>
    <row r="45" spans="1:42" ht="12.75">
      <c r="A45">
        <v>5</v>
      </c>
      <c r="B45">
        <v>0.00126318976277007</v>
      </c>
      <c r="C45">
        <v>0.00123053740841772</v>
      </c>
      <c r="D45">
        <v>0.00120361767630683</v>
      </c>
      <c r="E45">
        <v>0.00118200616010844</v>
      </c>
      <c r="F45">
        <v>0.00110495844121139</v>
      </c>
      <c r="G45">
        <v>0.00114072667593645</v>
      </c>
      <c r="H45">
        <v>0.00111400840413711</v>
      </c>
      <c r="I45">
        <v>0.00107668570666153</v>
      </c>
      <c r="J45">
        <v>0.00104260712272319</v>
      </c>
      <c r="K45">
        <v>0.00102166671913673</v>
      </c>
      <c r="L45">
        <v>0.000997867657359763</v>
      </c>
      <c r="M45">
        <v>0.000975575327632816</v>
      </c>
      <c r="N45">
        <v>0.000954220856769328</v>
      </c>
      <c r="O45">
        <v>0.000934395499442076</v>
      </c>
      <c r="P45">
        <v>0.000915734159502968</v>
      </c>
      <c r="Q45">
        <v>0.000896355701980989</v>
      </c>
      <c r="R45">
        <v>0.000878045646659498</v>
      </c>
      <c r="S45">
        <v>0.000860937096430092</v>
      </c>
      <c r="T45">
        <v>0.000844186031412453</v>
      </c>
      <c r="U45">
        <v>0.000827784979333002</v>
      </c>
      <c r="V45">
        <v>0.00081172662416662</v>
      </c>
      <c r="W45">
        <v>0.000796003802869594</v>
      </c>
      <c r="X45">
        <v>0.000780609502177509</v>
      </c>
      <c r="Y45">
        <v>0.000765536855473536</v>
      </c>
      <c r="Z45">
        <v>0.000750779139718882</v>
      </c>
      <c r="AA45">
        <v>0.00073632977245075</v>
      </c>
      <c r="AB45">
        <v>0.000722182308839914</v>
      </c>
      <c r="AC45">
        <v>0.000708330438812688</v>
      </c>
      <c r="AD45">
        <v>0.000694767984231737</v>
      </c>
      <c r="AE45">
        <v>0.00068148889613584</v>
      </c>
      <c r="AF45">
        <v>0.00066848725203783</v>
      </c>
      <c r="AG45">
        <v>0.00065575725327971</v>
      </c>
      <c r="AH45">
        <v>0.000643293222441499</v>
      </c>
      <c r="AI45">
        <v>0.000631089600805268</v>
      </c>
      <c r="AJ45">
        <v>0.000619140945873453</v>
      </c>
      <c r="AK45">
        <v>0.000607441928935692</v>
      </c>
      <c r="AL45">
        <v>0.000595987332691617</v>
      </c>
      <c r="AM45">
        <v>0.000584772048917714</v>
      </c>
      <c r="AN45">
        <v>0.000573791076188046</v>
      </c>
      <c r="AO45">
        <v>0.000563039517639363</v>
      </c>
      <c r="AP45">
        <v>0.000552512578784192</v>
      </c>
    </row>
    <row r="46" spans="1:42" ht="12.75">
      <c r="A46">
        <v>6</v>
      </c>
      <c r="B46">
        <v>0.00113933139599309</v>
      </c>
      <c r="C46">
        <v>0.00111461856133244</v>
      </c>
      <c r="D46">
        <v>0.00109292919939197</v>
      </c>
      <c r="E46">
        <v>0.00107429957646799</v>
      </c>
      <c r="F46">
        <v>0.00100568723025984</v>
      </c>
      <c r="G46">
        <v>0.00104026822888204</v>
      </c>
      <c r="H46">
        <v>0.00102140990392918</v>
      </c>
      <c r="I46">
        <v>0.000992448543916336</v>
      </c>
      <c r="J46">
        <v>0.000964972653910046</v>
      </c>
      <c r="K46">
        <v>0.000949234115577346</v>
      </c>
      <c r="L46">
        <v>0.000929628206581712</v>
      </c>
      <c r="M46">
        <v>0.000910763580734941</v>
      </c>
      <c r="N46">
        <v>0.000893349016564904</v>
      </c>
      <c r="O46">
        <v>0.000876512884407044</v>
      </c>
      <c r="P46">
        <v>0.000860810589879302</v>
      </c>
      <c r="Q46">
        <v>0.000844814958184337</v>
      </c>
      <c r="R46">
        <v>0.000828728920066912</v>
      </c>
      <c r="S46">
        <v>0.000813400986853785</v>
      </c>
      <c r="T46">
        <v>0.000798376442985416</v>
      </c>
      <c r="U46">
        <v>0.000783649272765086</v>
      </c>
      <c r="V46">
        <v>0.000769213580006589</v>
      </c>
      <c r="W46">
        <v>0.000755063585652693</v>
      </c>
      <c r="X46">
        <v>0.000741193625444669</v>
      </c>
      <c r="Y46">
        <v>0.000727598147635233</v>
      </c>
      <c r="Z46">
        <v>0.000714271710750891</v>
      </c>
      <c r="AA46">
        <v>0.000701208981394363</v>
      </c>
      <c r="AB46">
        <v>0.00068840473209586</v>
      </c>
      <c r="AC46">
        <v>0.000675853839202545</v>
      </c>
      <c r="AD46">
        <v>0.000663551280812968</v>
      </c>
      <c r="AE46">
        <v>0.000651492134753351</v>
      </c>
      <c r="AF46">
        <v>0.000639671576590728</v>
      </c>
      <c r="AG46">
        <v>0.000628084877689727</v>
      </c>
      <c r="AH46">
        <v>0.00061672740330565</v>
      </c>
      <c r="AI46">
        <v>0.000605594610716187</v>
      </c>
      <c r="AJ46">
        <v>0.00059468204739066</v>
      </c>
      <c r="AK46">
        <v>0.000583985349196348</v>
      </c>
      <c r="AL46">
        <v>0.000573500238638669</v>
      </c>
      <c r="AM46">
        <v>0.000563222523138673</v>
      </c>
      <c r="AN46">
        <v>0.000553148093342948</v>
      </c>
      <c r="AO46">
        <v>0.000543272921469495</v>
      </c>
      <c r="AP46">
        <v>0.000533593059684256</v>
      </c>
    </row>
    <row r="47" spans="1:42" ht="12.75">
      <c r="A47">
        <v>7</v>
      </c>
      <c r="B47">
        <v>0.000975749663440051</v>
      </c>
      <c r="C47">
        <v>0.000959517299168433</v>
      </c>
      <c r="D47">
        <v>0.000944849923271818</v>
      </c>
      <c r="E47">
        <v>0.000931090731976614</v>
      </c>
      <c r="F47">
        <v>0.000873299200103372</v>
      </c>
      <c r="G47">
        <v>0.000903133291246805</v>
      </c>
      <c r="H47">
        <v>0.000889036216527916</v>
      </c>
      <c r="I47">
        <v>0.000868613782729177</v>
      </c>
      <c r="J47">
        <v>0.00084889760889173</v>
      </c>
      <c r="K47">
        <v>0.000838289898537514</v>
      </c>
      <c r="L47">
        <v>0.000824349179859629</v>
      </c>
      <c r="M47">
        <v>0.000809814319287061</v>
      </c>
      <c r="N47">
        <v>0.000795894421856236</v>
      </c>
      <c r="O47">
        <v>0.000782991635349006</v>
      </c>
      <c r="P47">
        <v>0.000770643570188079</v>
      </c>
      <c r="Q47">
        <v>0.000758668278860286</v>
      </c>
      <c r="R47">
        <v>0.000746501184196946</v>
      </c>
      <c r="S47">
        <v>0.000733349788083815</v>
      </c>
      <c r="T47">
        <v>0.000720447079139763</v>
      </c>
      <c r="U47">
        <v>0.000707788354619154</v>
      </c>
      <c r="V47">
        <v>0.000695369000713431</v>
      </c>
      <c r="W47">
        <v>0.000683184490868904</v>
      </c>
      <c r="X47">
        <v>0.000671230384136412</v>
      </c>
      <c r="Y47">
        <v>0.000659502323551941</v>
      </c>
      <c r="Z47">
        <v>0.000647996034548126</v>
      </c>
      <c r="AA47">
        <v>0.000636707323395824</v>
      </c>
      <c r="AB47">
        <v>0.000625632075675675</v>
      </c>
      <c r="AC47">
        <v>0.000614766254776966</v>
      </c>
      <c r="AD47">
        <v>0.00060410590042681</v>
      </c>
      <c r="AE47">
        <v>0.0005936471272463</v>
      </c>
      <c r="AF47">
        <v>0.000583386123333418</v>
      </c>
      <c r="AG47">
        <v>0.000573319148873708</v>
      </c>
      <c r="AH47">
        <v>0.000563442534777137</v>
      </c>
      <c r="AI47">
        <v>0.000553752681339614</v>
      </c>
      <c r="AJ47">
        <v>0.00054424605693193</v>
      </c>
      <c r="AK47">
        <v>0.00053491919671067</v>
      </c>
      <c r="AL47">
        <v>0.000525768701356566</v>
      </c>
      <c r="AM47">
        <v>0.000516791235833924</v>
      </c>
      <c r="AN47">
        <v>0.000507983528176492</v>
      </c>
      <c r="AO47">
        <v>0.000499342368292521</v>
      </c>
      <c r="AP47">
        <v>0.000490864606796815</v>
      </c>
    </row>
    <row r="48" spans="1:42" ht="12.75">
      <c r="A48">
        <v>8</v>
      </c>
      <c r="B48">
        <v>0.000775292365803981</v>
      </c>
      <c r="C48">
        <v>0.000766673485587233</v>
      </c>
      <c r="D48">
        <v>0.000758923907203224</v>
      </c>
      <c r="E48">
        <v>0.000751041340451564</v>
      </c>
      <c r="F48">
        <v>0.000706484291592147</v>
      </c>
      <c r="G48">
        <v>0.000731536118395937</v>
      </c>
      <c r="H48">
        <v>0.000720989836711428</v>
      </c>
      <c r="I48">
        <v>0.000706588908495953</v>
      </c>
      <c r="J48">
        <v>0.000694117338556843</v>
      </c>
      <c r="K48">
        <v>0.000688434150897699</v>
      </c>
      <c r="L48">
        <v>0.000679481968935747</v>
      </c>
      <c r="M48">
        <v>0.000670109470138347</v>
      </c>
      <c r="N48">
        <v>0.000660102436223275</v>
      </c>
      <c r="O48">
        <v>0.000650628569884848</v>
      </c>
      <c r="P48">
        <v>0.000641935648334369</v>
      </c>
      <c r="Q48">
        <v>0.000633165322003193</v>
      </c>
      <c r="R48">
        <v>0.00062457755880363</v>
      </c>
      <c r="S48">
        <v>0.000613769144091947</v>
      </c>
      <c r="T48">
        <v>0.000603165123529092</v>
      </c>
      <c r="U48">
        <v>0.000592761631523664</v>
      </c>
      <c r="V48">
        <v>0.000582554875605101</v>
      </c>
      <c r="W48">
        <v>0.000572541135041349</v>
      </c>
      <c r="X48">
        <v>0.000562716759480164</v>
      </c>
      <c r="Y48">
        <v>0.00055307816761796</v>
      </c>
      <c r="Z48">
        <v>0.000543621845893072</v>
      </c>
      <c r="AA48">
        <v>0.000534344347204341</v>
      </c>
      <c r="AB48">
        <v>0.000525242289652672</v>
      </c>
      <c r="AC48">
        <v>0.000516312355308579</v>
      </c>
      <c r="AD48">
        <v>0.000507551289000152</v>
      </c>
      <c r="AE48">
        <v>0.000498955897127673</v>
      </c>
      <c r="AF48">
        <v>0.000490523046497215</v>
      </c>
      <c r="AG48">
        <v>0.000482249663177226</v>
      </c>
      <c r="AH48">
        <v>0.000474132731378862</v>
      </c>
      <c r="AI48">
        <v>0.000466169292355101</v>
      </c>
      <c r="AJ48">
        <v>0.000458356443321595</v>
      </c>
      <c r="AK48">
        <v>0.00045069133639708</v>
      </c>
      <c r="AL48">
        <v>0.000443171177566537</v>
      </c>
      <c r="AM48">
        <v>0.00043579322566023</v>
      </c>
      <c r="AN48">
        <v>0.000428554791354507</v>
      </c>
      <c r="AO48">
        <v>0.000421453236191693</v>
      </c>
      <c r="AP48">
        <v>0.000414485971616529</v>
      </c>
    </row>
    <row r="49" spans="1:42" ht="12.75">
      <c r="A49">
        <v>9</v>
      </c>
      <c r="B49">
        <v>0.000620507733929854</v>
      </c>
      <c r="C49">
        <v>0.000617671961127608</v>
      </c>
      <c r="D49">
        <v>0.000615485373971048</v>
      </c>
      <c r="E49">
        <v>0.000612800679257952</v>
      </c>
      <c r="F49">
        <v>0.000579337574783678</v>
      </c>
      <c r="G49">
        <v>0.000601831965856836</v>
      </c>
      <c r="H49">
        <v>0.000594251050013206</v>
      </c>
      <c r="I49">
        <v>0.000583219825158743</v>
      </c>
      <c r="J49">
        <v>0.000574527878530628</v>
      </c>
      <c r="K49">
        <v>0.000572565828026117</v>
      </c>
      <c r="L49">
        <v>0.000567958931166457</v>
      </c>
      <c r="M49">
        <v>0.00056241684178604</v>
      </c>
      <c r="N49">
        <v>0.000556390551142316</v>
      </c>
      <c r="O49">
        <v>0.000549935629275855</v>
      </c>
      <c r="P49">
        <v>0.00054371051177915</v>
      </c>
      <c r="Q49">
        <v>0.000537523888246239</v>
      </c>
      <c r="R49">
        <v>0.000531350153919474</v>
      </c>
      <c r="S49">
        <v>0.000524062883136334</v>
      </c>
      <c r="T49">
        <v>0.000516893567426013</v>
      </c>
      <c r="U49">
        <v>0.000509840204710565</v>
      </c>
      <c r="V49">
        <v>0.000502900828160624</v>
      </c>
      <c r="W49">
        <v>0.000496073505561023</v>
      </c>
      <c r="X49">
        <v>0.000489356338681968</v>
      </c>
      <c r="Y49">
        <v>0.000482747462666855</v>
      </c>
      <c r="Z49">
        <v>0.000476245045428869</v>
      </c>
      <c r="AA49">
        <v>0.000469847287058012</v>
      </c>
      <c r="AB49">
        <v>0.000463552419241453</v>
      </c>
      <c r="AC49">
        <v>0.000457358704692656</v>
      </c>
      <c r="AD49">
        <v>0.000451264436592491</v>
      </c>
      <c r="AE49">
        <v>0.000445267938038341</v>
      </c>
      <c r="AF49">
        <v>0.000439367561505422</v>
      </c>
      <c r="AG49">
        <v>0.000433561688319095</v>
      </c>
      <c r="AH49">
        <v>0.000427848728132285</v>
      </c>
      <c r="AI49">
        <v>0.00042222711841744</v>
      </c>
      <c r="AJ49">
        <v>0.000416695323965155</v>
      </c>
      <c r="AK49">
        <v>0.000411251836392679</v>
      </c>
      <c r="AL49">
        <v>0.00040589517366163</v>
      </c>
      <c r="AM49">
        <v>0.000400623879604045</v>
      </c>
      <c r="AN49">
        <v>0.000395436523458415</v>
      </c>
      <c r="AO49">
        <v>0.000390331699411606</v>
      </c>
      <c r="AP49">
        <v>0.000385308026152331</v>
      </c>
    </row>
    <row r="51" ht="12.75">
      <c r="A51" t="s">
        <v>19</v>
      </c>
    </row>
    <row r="52" spans="1:42" ht="12.75">
      <c r="A52">
        <v>0</v>
      </c>
      <c r="B52">
        <v>0.0222408164493987</v>
      </c>
      <c r="C52">
        <v>0.0217892757295572</v>
      </c>
      <c r="D52">
        <v>0.0212711792917368</v>
      </c>
      <c r="E52">
        <v>0.0207932679568162</v>
      </c>
      <c r="F52">
        <v>0.0192279407808109</v>
      </c>
      <c r="G52">
        <v>0.0197480915509993</v>
      </c>
      <c r="H52">
        <v>0.0191944520980513</v>
      </c>
      <c r="I52">
        <v>0.0184943906402322</v>
      </c>
      <c r="J52">
        <v>0.0178514822779203</v>
      </c>
      <c r="K52">
        <v>0.017498032392205</v>
      </c>
      <c r="L52">
        <v>0.0171010437360645</v>
      </c>
      <c r="M52">
        <v>0.0166492860685871</v>
      </c>
      <c r="N52">
        <v>0.0163767721136741</v>
      </c>
      <c r="O52">
        <v>0.0159654030748385</v>
      </c>
      <c r="P52">
        <v>0.0155571771935878</v>
      </c>
      <c r="Q52">
        <v>0.0151515643050487</v>
      </c>
      <c r="R52">
        <v>0.0147476806184785</v>
      </c>
      <c r="S52">
        <v>0.0143406192097487</v>
      </c>
      <c r="T52">
        <v>0.0139461174738196</v>
      </c>
      <c r="U52">
        <v>0.013563778675929</v>
      </c>
      <c r="V52">
        <v>0.0131932191131864</v>
      </c>
      <c r="W52">
        <v>0.0128340676583241</v>
      </c>
      <c r="X52">
        <v>0.0124859653210503</v>
      </c>
      <c r="Y52">
        <v>0.0121485648262358</v>
      </c>
      <c r="Z52">
        <v>0.0118215302081904</v>
      </c>
      <c r="AA52">
        <v>0.0115045364203391</v>
      </c>
      <c r="AB52">
        <v>0.0111972689596315</v>
      </c>
      <c r="AC52">
        <v>0.010899423505054</v>
      </c>
      <c r="AD52">
        <v>0.0106107055696486</v>
      </c>
      <c r="AE52">
        <v>0.0103308301654691</v>
      </c>
      <c r="AF52">
        <v>0.0100595214809303</v>
      </c>
      <c r="AG52">
        <v>0.00979651257004055</v>
      </c>
      <c r="AH52">
        <v>0.00954154505302185</v>
      </c>
      <c r="AI52">
        <v>0.00929436882785362</v>
      </c>
      <c r="AJ52">
        <v>0.00905474179229282</v>
      </c>
      <c r="AK52">
        <v>0.00882242957594959</v>
      </c>
      <c r="AL52">
        <v>0.0085972052820088</v>
      </c>
      <c r="AM52">
        <v>0.00837884923821608</v>
      </c>
      <c r="AN52">
        <v>0.00816714875675817</v>
      </c>
      <c r="AO52">
        <v>0.00796189790268476</v>
      </c>
      <c r="AP52">
        <v>0.00776289727053847</v>
      </c>
    </row>
    <row r="53" spans="1:42" ht="12.75">
      <c r="A53">
        <v>1</v>
      </c>
      <c r="B53">
        <v>0.00900632156240677</v>
      </c>
      <c r="C53">
        <v>0.00882232291247365</v>
      </c>
      <c r="D53">
        <v>0.00856308178936205</v>
      </c>
      <c r="E53">
        <v>0.00832439240016025</v>
      </c>
      <c r="F53">
        <v>0.00766011384244047</v>
      </c>
      <c r="G53">
        <v>0.00781910424095644</v>
      </c>
      <c r="H53">
        <v>0.00754581516371788</v>
      </c>
      <c r="I53">
        <v>0.00723256554376717</v>
      </c>
      <c r="J53">
        <v>0.00694036820321864</v>
      </c>
      <c r="K53">
        <v>0.00675884814912653</v>
      </c>
      <c r="L53">
        <v>0.00657649212869216</v>
      </c>
      <c r="M53">
        <v>0.00637818622884645</v>
      </c>
      <c r="N53">
        <v>0.00621126880926004</v>
      </c>
      <c r="O53">
        <v>0.00606340312074805</v>
      </c>
      <c r="P53">
        <v>0.00586566384050935</v>
      </c>
      <c r="Q53">
        <v>0.00565951141025334</v>
      </c>
      <c r="R53">
        <v>0.00545496827249836</v>
      </c>
      <c r="S53">
        <v>0.00529669680231193</v>
      </c>
      <c r="T53">
        <v>0.0051436633232208</v>
      </c>
      <c r="U53">
        <v>0.0049956939386403</v>
      </c>
      <c r="V53">
        <v>0.00485262056079983</v>
      </c>
      <c r="W53">
        <v>0.00471428071437818</v>
      </c>
      <c r="X53">
        <v>0.00458051734693077</v>
      </c>
      <c r="Y53">
        <v>0.00445117864585887</v>
      </c>
      <c r="Z53">
        <v>0.00432611786169401</v>
      </c>
      <c r="AA53">
        <v>0.00420519313746115</v>
      </c>
      <c r="AB53">
        <v>0.00408826734391254</v>
      </c>
      <c r="AC53">
        <v>0.00397520792041595</v>
      </c>
      <c r="AD53">
        <v>0.00386588672130095</v>
      </c>
      <c r="AE53">
        <v>0.00376017986746568</v>
      </c>
      <c r="AF53">
        <v>0.00365796760305992</v>
      </c>
      <c r="AG53">
        <v>0.00355913415706655</v>
      </c>
      <c r="AH53">
        <v>0.00346356760960331</v>
      </c>
      <c r="AI53">
        <v>0.00337115976278524</v>
      </c>
      <c r="AJ53">
        <v>0.00328180601598438</v>
      </c>
      <c r="AK53">
        <v>0.00319540524532935</v>
      </c>
      <c r="AL53">
        <v>0.00311185968730598</v>
      </c>
      <c r="AM53">
        <v>0.00303107482630405</v>
      </c>
      <c r="AN53">
        <v>0.0029529592859826</v>
      </c>
      <c r="AO53">
        <v>0.00287742472431385</v>
      </c>
      <c r="AP53">
        <v>0.002804385732183</v>
      </c>
    </row>
    <row r="54" spans="1:42" ht="12.75">
      <c r="A54">
        <v>2</v>
      </c>
      <c r="B54">
        <v>0.00289623371861536</v>
      </c>
      <c r="C54">
        <v>0.00283533427572791</v>
      </c>
      <c r="D54">
        <v>0.00277013609833365</v>
      </c>
      <c r="E54">
        <v>0.00269400990368862</v>
      </c>
      <c r="F54">
        <v>0.00248253352423344</v>
      </c>
      <c r="G54">
        <v>0.00253590271460435</v>
      </c>
      <c r="H54">
        <v>0.00244775311647971</v>
      </c>
      <c r="I54">
        <v>0.00234399816417763</v>
      </c>
      <c r="J54">
        <v>0.00225067976559024</v>
      </c>
      <c r="K54">
        <v>0.00219078669742823</v>
      </c>
      <c r="L54">
        <v>0.00213094210823894</v>
      </c>
      <c r="M54">
        <v>0.00207410528147467</v>
      </c>
      <c r="N54">
        <v>0.00201845463732209</v>
      </c>
      <c r="O54">
        <v>0.00196808302416207</v>
      </c>
      <c r="P54">
        <v>0.00191782434867027</v>
      </c>
      <c r="Q54">
        <v>0.00185684964642285</v>
      </c>
      <c r="R54">
        <v>0.0017943872190016</v>
      </c>
      <c r="S54">
        <v>0.00173739192549771</v>
      </c>
      <c r="T54">
        <v>0.00168227600630877</v>
      </c>
      <c r="U54">
        <v>0.00162897742679724</v>
      </c>
      <c r="V54">
        <v>0.00157743620411432</v>
      </c>
      <c r="W54">
        <v>0.00152759433906591</v>
      </c>
      <c r="X54">
        <v>0.00147939575026224</v>
      </c>
      <c r="Y54">
        <v>0.00143278621046705</v>
      </c>
      <c r="Z54">
        <v>0.00138771328507603</v>
      </c>
      <c r="AA54">
        <v>0.00134412627265157</v>
      </c>
      <c r="AB54">
        <v>0.00130197614744132</v>
      </c>
      <c r="AC54">
        <v>0.00126121550381741</v>
      </c>
      <c r="AD54">
        <v>0.00122179850256998</v>
      </c>
      <c r="AE54">
        <v>0.0011836808189899</v>
      </c>
      <c r="AF54">
        <v>0.00114681959268492</v>
      </c>
      <c r="AG54">
        <v>0.00111117337906563</v>
      </c>
      <c r="AH54">
        <v>0.00107670210245114</v>
      </c>
      <c r="AI54">
        <v>0.00104336701073215</v>
      </c>
      <c r="AJ54">
        <v>0.0010111306315469</v>
      </c>
      <c r="AK54">
        <v>0.000979956729913689</v>
      </c>
      <c r="AL54">
        <v>0.000949810267272921</v>
      </c>
      <c r="AM54">
        <v>0.00092065736189173</v>
      </c>
      <c r="AN54">
        <v>0.000892465250585062</v>
      </c>
      <c r="AO54">
        <v>0.000865202251707942</v>
      </c>
      <c r="AP54">
        <v>0.000838837729378872</v>
      </c>
    </row>
    <row r="55" spans="1:42" ht="12.75">
      <c r="A55">
        <v>3</v>
      </c>
      <c r="B55">
        <v>0.0012785335288954</v>
      </c>
      <c r="C55">
        <v>0.0012478616473911</v>
      </c>
      <c r="D55">
        <v>0.00121629573317894</v>
      </c>
      <c r="E55">
        <v>0.00118683587131629</v>
      </c>
      <c r="F55">
        <v>0.00109452278971989</v>
      </c>
      <c r="G55">
        <v>0.001114955186021</v>
      </c>
      <c r="H55">
        <v>0.00107603047786253</v>
      </c>
      <c r="I55">
        <v>0.00102968202747844</v>
      </c>
      <c r="J55">
        <v>0.000986785739540141</v>
      </c>
      <c r="K55">
        <v>0.000960087898506989</v>
      </c>
      <c r="L55">
        <v>0.000932842147125967</v>
      </c>
      <c r="M55">
        <v>0.000907614676529778</v>
      </c>
      <c r="N55">
        <v>0.000884212022425279</v>
      </c>
      <c r="O55">
        <v>0.000860648067932512</v>
      </c>
      <c r="P55">
        <v>0.000839217040156548</v>
      </c>
      <c r="Q55">
        <v>0.000817659237618007</v>
      </c>
      <c r="R55">
        <v>0.000793013711690604</v>
      </c>
      <c r="S55">
        <v>0.000768676188097728</v>
      </c>
      <c r="T55">
        <v>0.000745141401396698</v>
      </c>
      <c r="U55">
        <v>0.000722382865878446</v>
      </c>
      <c r="V55">
        <v>0.00070037497021247</v>
      </c>
      <c r="W55">
        <v>0.000679092948551174</v>
      </c>
      <c r="X55">
        <v>0.000658512852588777</v>
      </c>
      <c r="Y55">
        <v>0.000638611524547028</v>
      </c>
      <c r="Z55">
        <v>0.000619366571056101</v>
      </c>
      <c r="AA55">
        <v>0.000600756337897246</v>
      </c>
      <c r="AB55">
        <v>0.000582759885584649</v>
      </c>
      <c r="AC55">
        <v>0.000565356965752217</v>
      </c>
      <c r="AD55">
        <v>0.000548527998324499</v>
      </c>
      <c r="AE55">
        <v>0.000532254049441128</v>
      </c>
      <c r="AF55">
        <v>0.000516516810112222</v>
      </c>
      <c r="AG55">
        <v>0.000501298575580233</v>
      </c>
      <c r="AH55">
        <v>0.00048658222536313</v>
      </c>
      <c r="AI55">
        <v>0.000472351203959831</v>
      </c>
      <c r="AJ55">
        <v>0.000458589502190798</v>
      </c>
      <c r="AK55">
        <v>0.000445281639158468</v>
      </c>
      <c r="AL55">
        <v>0.000432412644802982</v>
      </c>
      <c r="AM55">
        <v>0.000419968043033792</v>
      </c>
      <c r="AN55">
        <v>0.000407933835419705</v>
      </c>
      <c r="AO55">
        <v>0.000396296485419056</v>
      </c>
      <c r="AP55">
        <v>0.000385042903129906</v>
      </c>
    </row>
    <row r="56" spans="1:42" ht="12.75">
      <c r="A56">
        <v>4</v>
      </c>
      <c r="B56">
        <v>0.000846386202547733</v>
      </c>
      <c r="C56">
        <v>0.000825671485844004</v>
      </c>
      <c r="D56">
        <v>0.000802335872545745</v>
      </c>
      <c r="E56">
        <v>0.000781973707425609</v>
      </c>
      <c r="F56">
        <v>0.000724528039798611</v>
      </c>
      <c r="G56">
        <v>0.000737259895154829</v>
      </c>
      <c r="H56">
        <v>0.000711521988523645</v>
      </c>
      <c r="I56">
        <v>0.000681533683427493</v>
      </c>
      <c r="J56">
        <v>0.000653265085982402</v>
      </c>
      <c r="K56">
        <v>0.000635387191589731</v>
      </c>
      <c r="L56">
        <v>0.000618139160958653</v>
      </c>
      <c r="M56">
        <v>0.000601381626762376</v>
      </c>
      <c r="N56">
        <v>0.000586094540426907</v>
      </c>
      <c r="O56">
        <v>0.000571367282372393</v>
      </c>
      <c r="P56">
        <v>0.000556862386079771</v>
      </c>
      <c r="Q56">
        <v>0.000543190292766504</v>
      </c>
      <c r="R56">
        <v>0.000528938136934554</v>
      </c>
      <c r="S56">
        <v>0.000513619991877046</v>
      </c>
      <c r="T56">
        <v>0.000498788202280553</v>
      </c>
      <c r="U56">
        <v>0.00048442727862219</v>
      </c>
      <c r="V56">
        <v>0.000470522226240999</v>
      </c>
      <c r="W56">
        <v>0.000457058529474752</v>
      </c>
      <c r="X56">
        <v>0.000444022136308009</v>
      </c>
      <c r="Y56">
        <v>0.000431399443515335</v>
      </c>
      <c r="Z56">
        <v>0.000419177282279359</v>
      </c>
      <c r="AA56">
        <v>0.000407342904273356</v>
      </c>
      <c r="AB56">
        <v>0.000395883968192012</v>
      </c>
      <c r="AC56">
        <v>0.000384788526712976</v>
      </c>
      <c r="AD56">
        <v>0.000374045013880164</v>
      </c>
      <c r="AE56">
        <v>0.00036364223288976</v>
      </c>
      <c r="AF56">
        <v>0.000353569344271221</v>
      </c>
      <c r="AG56">
        <v>0.000343815854447094</v>
      </c>
      <c r="AH56">
        <v>0.000334371604659101</v>
      </c>
      <c r="AI56">
        <v>0.000325226760252706</v>
      </c>
      <c r="AJ56">
        <v>0.000316371800303306</v>
      </c>
      <c r="AK56">
        <v>0.000307797507576701</v>
      </c>
      <c r="AL56">
        <v>0.000299494958811986</v>
      </c>
      <c r="AM56">
        <v>0.00029145551531562</v>
      </c>
      <c r="AN56">
        <v>0.000283670813859271</v>
      </c>
      <c r="AO56">
        <v>0.000276132757866865</v>
      </c>
      <c r="AP56">
        <v>0.000268833508887401</v>
      </c>
    </row>
    <row r="57" spans="1:42" ht="12.75">
      <c r="A57">
        <v>5</v>
      </c>
      <c r="B57">
        <v>0.000768095250524348</v>
      </c>
      <c r="C57">
        <v>0.000750814903696329</v>
      </c>
      <c r="D57">
        <v>0.000730779308112273</v>
      </c>
      <c r="E57">
        <v>0.00071344394661399</v>
      </c>
      <c r="F57">
        <v>0.000663521590658633</v>
      </c>
      <c r="G57">
        <v>0.000678590666530643</v>
      </c>
      <c r="H57">
        <v>0.000657927397843094</v>
      </c>
      <c r="I57">
        <v>0.000632599640220111</v>
      </c>
      <c r="J57">
        <v>0.000608742631390213</v>
      </c>
      <c r="K57">
        <v>0.000593880138075153</v>
      </c>
      <c r="L57">
        <v>0.000579026543128802</v>
      </c>
      <c r="M57">
        <v>0.0005650275423007</v>
      </c>
      <c r="N57">
        <v>0.00055174164865035</v>
      </c>
      <c r="O57">
        <v>0.000539221777297039</v>
      </c>
      <c r="P57">
        <v>0.000527236882899906</v>
      </c>
      <c r="Q57">
        <v>0.000515097426097122</v>
      </c>
      <c r="R57">
        <v>0.000503800600419435</v>
      </c>
      <c r="S57">
        <v>0.000489947930836676</v>
      </c>
      <c r="T57">
        <v>0.000476504635538499</v>
      </c>
      <c r="U57">
        <v>0.000463458615458268</v>
      </c>
      <c r="V57">
        <v>0.000450798129157604</v>
      </c>
      <c r="W57">
        <v>0.000438511782254625</v>
      </c>
      <c r="X57">
        <v>0.000426588517163817</v>
      </c>
      <c r="Y57">
        <v>0.000415017603139778</v>
      </c>
      <c r="Z57">
        <v>0.000403788626614832</v>
      </c>
      <c r="AA57">
        <v>0.000392891481823088</v>
      </c>
      <c r="AB57">
        <v>0.000382316361701163</v>
      </c>
      <c r="AC57">
        <v>0.000372053749058132</v>
      </c>
      <c r="AD57">
        <v>0.000362094408006497</v>
      </c>
      <c r="AE57">
        <v>0.000352429375646945</v>
      </c>
      <c r="AF57">
        <v>0.000343049953997365</v>
      </c>
      <c r="AG57">
        <v>0.000333947702163329</v>
      </c>
      <c r="AH57">
        <v>0.00032511442873695</v>
      </c>
      <c r="AI57">
        <v>0.000316542184422675</v>
      </c>
      <c r="AJ57">
        <v>0.000308223254880446</v>
      </c>
      <c r="AK57">
        <v>0.000300150153779821</v>
      </c>
      <c r="AL57">
        <v>0.000292315616060468</v>
      </c>
      <c r="AM57">
        <v>0.000284712591391179</v>
      </c>
      <c r="AN57">
        <v>0.000277334237822391</v>
      </c>
      <c r="AO57">
        <v>0.000270173915626892</v>
      </c>
      <c r="AP57">
        <v>0.000263225181321824</v>
      </c>
    </row>
    <row r="58" spans="1:42" ht="12.75">
      <c r="A58">
        <v>6</v>
      </c>
      <c r="B58">
        <v>0.000692636904194965</v>
      </c>
      <c r="C58">
        <v>0.000678814119421278</v>
      </c>
      <c r="D58">
        <v>0.000662394690609025</v>
      </c>
      <c r="E58">
        <v>0.00064814655533163</v>
      </c>
      <c r="F58">
        <v>0.000604704040340853</v>
      </c>
      <c r="G58">
        <v>0.000620208232848141</v>
      </c>
      <c r="H58">
        <v>0.00060448928056922</v>
      </c>
      <c r="I58">
        <v>0.000584106687616104</v>
      </c>
      <c r="J58">
        <v>0.000564443922199231</v>
      </c>
      <c r="K58">
        <v>0.000552727801730546</v>
      </c>
      <c r="L58">
        <v>0.000540465334178286</v>
      </c>
      <c r="M58">
        <v>0.000528549460077965</v>
      </c>
      <c r="N58">
        <v>0.000517496414686569</v>
      </c>
      <c r="O58">
        <v>0.000506837464061993</v>
      </c>
      <c r="P58">
        <v>0.000496737880109066</v>
      </c>
      <c r="Q58">
        <v>0.000486439097357461</v>
      </c>
      <c r="R58">
        <v>0.000476310826306725</v>
      </c>
      <c r="S58">
        <v>0.000463195430557395</v>
      </c>
      <c r="T58">
        <v>0.000450461202648689</v>
      </c>
      <c r="U58">
        <v>0.000438097063923282</v>
      </c>
      <c r="V58">
        <v>0.000426092257761801</v>
      </c>
      <c r="W58">
        <v>0.000414436340220758</v>
      </c>
      <c r="X58">
        <v>0.000403119170941491</v>
      </c>
      <c r="Y58">
        <v>0.000392130904324883</v>
      </c>
      <c r="Z58">
        <v>0.000381461980961117</v>
      </c>
      <c r="AA58">
        <v>0.000371103119309768</v>
      </c>
      <c r="AB58">
        <v>0.000361045307621044</v>
      </c>
      <c r="AC58">
        <v>0.000351279796093285</v>
      </c>
      <c r="AD58">
        <v>0.000341798089256717</v>
      </c>
      <c r="AE58">
        <v>0.000332591938580373</v>
      </c>
      <c r="AF58">
        <v>0.000323653335292495</v>
      </c>
      <c r="AG58">
        <v>0.000314974503411336</v>
      </c>
      <c r="AH58">
        <v>0.000306547892976905</v>
      </c>
      <c r="AI58">
        <v>0.00029836617348078</v>
      </c>
      <c r="AJ58">
        <v>0.000290422227486542</v>
      </c>
      <c r="AK58">
        <v>0.000282709144435622</v>
      </c>
      <c r="AL58">
        <v>0.000275220214633221</v>
      </c>
      <c r="AM58">
        <v>0.000267948923409089</v>
      </c>
      <c r="AN58">
        <v>0.000260888945448845</v>
      </c>
      <c r="AO58">
        <v>0.000254034139288928</v>
      </c>
      <c r="AP58">
        <v>0.000247378541971877</v>
      </c>
    </row>
    <row r="59" spans="1:42" ht="12.75">
      <c r="A59">
        <v>7</v>
      </c>
      <c r="B59">
        <v>0.000593299057463748</v>
      </c>
      <c r="C59">
        <v>0.000583206988238771</v>
      </c>
      <c r="D59">
        <v>0.000571130140691767</v>
      </c>
      <c r="E59">
        <v>0.000560535278516294</v>
      </c>
      <c r="F59">
        <v>0.000524848509828368</v>
      </c>
      <c r="G59">
        <v>0.000539322789703256</v>
      </c>
      <c r="H59">
        <v>0.000527630446290672</v>
      </c>
      <c r="I59">
        <v>0.000512629353712768</v>
      </c>
      <c r="J59">
        <v>0.000497919442246642</v>
      </c>
      <c r="K59">
        <v>0.000489525338662089</v>
      </c>
      <c r="L59">
        <v>0.000480478965140252</v>
      </c>
      <c r="M59">
        <v>0.000471261778205001</v>
      </c>
      <c r="N59">
        <v>0.000462345016500332</v>
      </c>
      <c r="O59">
        <v>0.000454000825309553</v>
      </c>
      <c r="P59">
        <v>0.000445965839411033</v>
      </c>
      <c r="Q59">
        <v>0.000438032289416634</v>
      </c>
      <c r="R59">
        <v>0.000430016938179678</v>
      </c>
      <c r="S59">
        <v>0.00041824366888632</v>
      </c>
      <c r="T59">
        <v>0.000406808469149422</v>
      </c>
      <c r="U59">
        <v>0.000395701630866219</v>
      </c>
      <c r="V59">
        <v>0.000384913724733815</v>
      </c>
      <c r="W59">
        <v>0.000374435592242484</v>
      </c>
      <c r="X59">
        <v>0.000364258337896661</v>
      </c>
      <c r="Y59">
        <v>0.000354373321662327</v>
      </c>
      <c r="Z59">
        <v>0.000344772151628758</v>
      </c>
      <c r="AA59">
        <v>0.000335446676882123</v>
      </c>
      <c r="AB59">
        <v>0.00032638898058468</v>
      </c>
      <c r="AC59">
        <v>0.00031759137325138</v>
      </c>
      <c r="AD59">
        <v>0.00030904638621998</v>
      </c>
      <c r="AE59">
        <v>0.000300746765309556</v>
      </c>
      <c r="AF59">
        <v>0.000292685464660103</v>
      </c>
      <c r="AG59">
        <v>0.000284855640749426</v>
      </c>
      <c r="AH59">
        <v>0.000277250646582128</v>
      </c>
      <c r="AI59">
        <v>0.000269864026046007</v>
      </c>
      <c r="AJ59">
        <v>0.000262689508428893</v>
      </c>
      <c r="AK59">
        <v>0.000255721003095011</v>
      </c>
      <c r="AL59">
        <v>0.000248952594312568</v>
      </c>
      <c r="AM59">
        <v>0.000242378536231103</v>
      </c>
      <c r="AN59">
        <v>0.000235993248002164</v>
      </c>
      <c r="AO59">
        <v>0.000229791309041549</v>
      </c>
      <c r="AP59">
        <v>0.000223767454425539</v>
      </c>
    </row>
    <row r="60" spans="1:42" ht="12.75">
      <c r="A60">
        <v>8</v>
      </c>
      <c r="B60">
        <v>0.000482355233221821</v>
      </c>
      <c r="C60">
        <v>0.000475666580005418</v>
      </c>
      <c r="D60">
        <v>0.00046740382683641</v>
      </c>
      <c r="E60">
        <v>0.000460192968370299</v>
      </c>
      <c r="F60">
        <v>0.000432447942390612</v>
      </c>
      <c r="G60">
        <v>0.000445353800632153</v>
      </c>
      <c r="H60">
        <v>0.00043702000379231</v>
      </c>
      <c r="I60">
        <v>0.000426341634472305</v>
      </c>
      <c r="J60">
        <v>0.000416154423434345</v>
      </c>
      <c r="K60">
        <v>0.000410838209234266</v>
      </c>
      <c r="L60">
        <v>0.000404794697230537</v>
      </c>
      <c r="M60">
        <v>0.000398461929881355</v>
      </c>
      <c r="N60">
        <v>0.00039190939491518</v>
      </c>
      <c r="O60">
        <v>0.000385637443146902</v>
      </c>
      <c r="P60">
        <v>0.000379764704472985</v>
      </c>
      <c r="Q60">
        <v>0.000373832683106645</v>
      </c>
      <c r="R60">
        <v>0.000367930170366404</v>
      </c>
      <c r="S60">
        <v>0.000358263717290974</v>
      </c>
      <c r="T60">
        <v>0.000348866115499891</v>
      </c>
      <c r="U60">
        <v>0.000339729879158757</v>
      </c>
      <c r="V60">
        <v>0.000330847731115136</v>
      </c>
      <c r="W60">
        <v>0.000322212597071769</v>
      </c>
      <c r="X60">
        <v>0.000313817599926658</v>
      </c>
      <c r="Y60">
        <v>0.000305656054266024</v>
      </c>
      <c r="Z60">
        <v>0.000297721461016365</v>
      </c>
      <c r="AA60">
        <v>0.000290007502242617</v>
      </c>
      <c r="AB60">
        <v>0.000282508036094309</v>
      </c>
      <c r="AC60">
        <v>0.000275217091889934</v>
      </c>
      <c r="AD60">
        <v>0.000268128865341777</v>
      </c>
      <c r="AE60">
        <v>0.0002612377139114</v>
      </c>
      <c r="AF60">
        <v>0.000254538152298145</v>
      </c>
      <c r="AG60">
        <v>0.000248024848051087</v>
      </c>
      <c r="AH60">
        <v>0.000241692617303668</v>
      </c>
      <c r="AI60">
        <v>0.000235536420630011</v>
      </c>
      <c r="AJ60">
        <v>0.000229551359013702</v>
      </c>
      <c r="AK60">
        <v>0.000223732669932031</v>
      </c>
      <c r="AL60">
        <v>0.000218075723547373</v>
      </c>
      <c r="AM60">
        <v>0.000212576019007371</v>
      </c>
      <c r="AN60">
        <v>0.000207229180845592</v>
      </c>
      <c r="AO60">
        <v>0.000202030955485211</v>
      </c>
      <c r="AP60">
        <v>0.000196977207838844</v>
      </c>
    </row>
    <row r="61" spans="1:42" ht="12.75">
      <c r="A61">
        <v>9</v>
      </c>
      <c r="B61">
        <v>0.000403465775625556</v>
      </c>
      <c r="C61">
        <v>0.000399519011453631</v>
      </c>
      <c r="D61">
        <v>0.000394260002443692</v>
      </c>
      <c r="E61">
        <v>0.000389503561806559</v>
      </c>
      <c r="F61">
        <v>0.000367612043340571</v>
      </c>
      <c r="G61">
        <v>0.000379514951133419</v>
      </c>
      <c r="H61">
        <v>0.000373634187324612</v>
      </c>
      <c r="I61">
        <v>0.000365799571995229</v>
      </c>
      <c r="J61">
        <v>0.000358544880556089</v>
      </c>
      <c r="K61">
        <v>0.000355367409923035</v>
      </c>
      <c r="L61">
        <v>0.000351658997163606</v>
      </c>
      <c r="M61">
        <v>0.000347684848720831</v>
      </c>
      <c r="N61">
        <v>0.000343215711227973</v>
      </c>
      <c r="O61">
        <v>0.000338702113918288</v>
      </c>
      <c r="P61">
        <v>0.000334324844915357</v>
      </c>
      <c r="Q61">
        <v>0.000329977367008349</v>
      </c>
      <c r="R61">
        <v>0.000325597632208963</v>
      </c>
      <c r="S61">
        <v>0.000318542061383931</v>
      </c>
      <c r="T61">
        <v>0.000311653540958856</v>
      </c>
      <c r="U61">
        <v>0.000304928022030637</v>
      </c>
      <c r="V61">
        <v>0.000298361555908566</v>
      </c>
      <c r="W61">
        <v>0.000291950291587573</v>
      </c>
      <c r="X61">
        <v>0.000285690473286859</v>
      </c>
      <c r="Y61">
        <v>0.000279578438051709</v>
      </c>
      <c r="Z61">
        <v>0.000273610613417796</v>
      </c>
      <c r="AA61">
        <v>0.000267783515132902</v>
      </c>
      <c r="AB61">
        <v>0.000262093744938352</v>
      </c>
      <c r="AC61">
        <v>0.000256537988407524</v>
      </c>
      <c r="AD61">
        <v>0.000251113012838422</v>
      </c>
      <c r="AE61">
        <v>0.000245815665201099</v>
      </c>
      <c r="AF61">
        <v>0.000240642870136698</v>
      </c>
      <c r="AG61">
        <v>0.00023559162800757</v>
      </c>
      <c r="AH61">
        <v>0.000230659012998014</v>
      </c>
      <c r="AI61">
        <v>0.00022584217126298</v>
      </c>
      <c r="AJ61">
        <v>0.000221138319123293</v>
      </c>
      <c r="AK61">
        <v>0.000216544741307501</v>
      </c>
      <c r="AL61">
        <v>0.000212058789239022</v>
      </c>
      <c r="AM61">
        <v>0.000207677879365042</v>
      </c>
      <c r="AN61">
        <v>0.000203399491531697</v>
      </c>
      <c r="AO61">
        <v>0.000199221167394903</v>
      </c>
      <c r="AP61">
        <v>0.000195140508876923</v>
      </c>
    </row>
    <row r="63" ht="12.75">
      <c r="A63" t="s">
        <v>22</v>
      </c>
    </row>
    <row r="64" spans="1:42" ht="12.75">
      <c r="A64" t="s">
        <v>20</v>
      </c>
      <c r="B64">
        <v>0.0397944068607154</v>
      </c>
      <c r="C64">
        <v>0.0388715752385485</v>
      </c>
      <c r="D64">
        <v>0.0380998026415365</v>
      </c>
      <c r="E64">
        <v>0.0373511091946326</v>
      </c>
      <c r="F64">
        <v>0.0346833258502761</v>
      </c>
      <c r="G64">
        <v>0.0357114309319538</v>
      </c>
      <c r="H64">
        <v>0.0348646639886978</v>
      </c>
      <c r="I64">
        <v>0.0336811654224156</v>
      </c>
      <c r="J64">
        <v>0.032701368224564</v>
      </c>
      <c r="K64">
        <v>0.0322409654756425</v>
      </c>
      <c r="L64">
        <v>0.0315998821166456</v>
      </c>
      <c r="M64">
        <v>0.0308845920365142</v>
      </c>
      <c r="N64">
        <v>0.030415127334558</v>
      </c>
      <c r="O64">
        <v>0.0296508953645741</v>
      </c>
      <c r="P64">
        <v>0.0290135039683352</v>
      </c>
      <c r="Q64">
        <v>0.0283785094808939</v>
      </c>
      <c r="R64">
        <v>0.0277443679760691</v>
      </c>
      <c r="S64">
        <v>0.0270070114078312</v>
      </c>
      <c r="T64">
        <v>0.0262907836188938</v>
      </c>
      <c r="U64">
        <v>0.0255950791690479</v>
      </c>
      <c r="V64">
        <v>0.0249193099668316</v>
      </c>
      <c r="W64">
        <v>0.0242629047724057</v>
      </c>
      <c r="X64">
        <v>0.0236253087146744</v>
      </c>
      <c r="Y64">
        <v>0.023005982822243</v>
      </c>
      <c r="Z64">
        <v>0.0224044035678153</v>
      </c>
      <c r="AA64">
        <v>0.021820062425647</v>
      </c>
      <c r="AB64">
        <v>0.0212524654416797</v>
      </c>
      <c r="AC64">
        <v>0.0207011328159923</v>
      </c>
      <c r="AD64">
        <v>0.0201655984972177</v>
      </c>
      <c r="AE64">
        <v>0.0196454097885816</v>
      </c>
      <c r="AF64">
        <v>0.0191401269652292</v>
      </c>
      <c r="AG64">
        <v>0.0186493229025183</v>
      </c>
      <c r="AH64">
        <v>0.0181725827149628</v>
      </c>
      <c r="AI64">
        <v>0.017709503405523</v>
      </c>
      <c r="AJ64">
        <v>0.0172596935249447</v>
      </c>
      <c r="AK64">
        <v>0.01682277284086</v>
      </c>
      <c r="AL64">
        <v>0.0163983720163704</v>
      </c>
      <c r="AM64">
        <v>0.0159861322978393</v>
      </c>
      <c r="AN64">
        <v>0.0155857052116314</v>
      </c>
      <c r="AO64">
        <v>0.0151967522695416</v>
      </c>
      <c r="AP64">
        <v>0.0148189446826649</v>
      </c>
    </row>
    <row r="65" spans="1:42" ht="12.75">
      <c r="A65" t="s">
        <v>21</v>
      </c>
      <c r="B65">
        <v>0.0347794217134852</v>
      </c>
      <c r="C65">
        <v>0.0340947083663827</v>
      </c>
      <c r="D65">
        <v>0.0334140341533933</v>
      </c>
      <c r="E65">
        <v>0.032752869432396</v>
      </c>
      <c r="F65">
        <v>0.0304125907596243</v>
      </c>
      <c r="G65">
        <v>0.0312997464368461</v>
      </c>
      <c r="H65">
        <v>0.0305322640236502</v>
      </c>
      <c r="I65">
        <v>0.0295044473589751</v>
      </c>
      <c r="J65">
        <v>0.028572832587097</v>
      </c>
      <c r="K65">
        <v>0.0280911405646992</v>
      </c>
      <c r="L65">
        <v>0.0275162093095509</v>
      </c>
      <c r="M65">
        <v>0.0268564524890961</v>
      </c>
      <c r="N65">
        <v>0.0265271043835241</v>
      </c>
      <c r="O65">
        <v>0.0258590726299825</v>
      </c>
      <c r="P65">
        <v>0.0253022134475748</v>
      </c>
      <c r="Q65">
        <v>0.0247477190720857</v>
      </c>
      <c r="R65">
        <v>0.0241941430601164</v>
      </c>
      <c r="S65">
        <v>0.0235430675006977</v>
      </c>
      <c r="T65">
        <v>0.0229108469314856</v>
      </c>
      <c r="U65">
        <v>0.0222969353165392</v>
      </c>
      <c r="V65">
        <v>0.0217008024329857</v>
      </c>
      <c r="W65">
        <v>0.0211219334130784</v>
      </c>
      <c r="X65">
        <v>0.0205598282995156</v>
      </c>
      <c r="Y65">
        <v>0.0200140016136374</v>
      </c>
      <c r="Z65">
        <v>0.0194839819361283</v>
      </c>
      <c r="AA65">
        <v>0.0189693114998619</v>
      </c>
      <c r="AB65">
        <v>0.0184695457945365</v>
      </c>
      <c r="AC65">
        <v>0.0179842531827609</v>
      </c>
      <c r="AD65">
        <v>0.0175130145272581</v>
      </c>
      <c r="AE65">
        <v>0.0170554228288646</v>
      </c>
      <c r="AF65">
        <v>0.0166110828750146</v>
      </c>
      <c r="AG65">
        <v>0.0161796108984015</v>
      </c>
      <c r="AH65">
        <v>0.0157606342455274</v>
      </c>
      <c r="AI65">
        <v>0.0153537910548489</v>
      </c>
      <c r="AJ65">
        <v>0.0149587299442452</v>
      </c>
      <c r="AK65">
        <v>0.0145751097075365</v>
      </c>
      <c r="AL65">
        <v>0.014202599019791</v>
      </c>
      <c r="AM65">
        <v>0.0138408761511668</v>
      </c>
      <c r="AN65">
        <v>0.0134896286890399</v>
      </c>
      <c r="AO65">
        <v>0.0131485532681802</v>
      </c>
      <c r="AP65">
        <v>0.0128173553087411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10"/>
  <sheetViews>
    <sheetView workbookViewId="0" topLeftCell="A1">
      <selection activeCell="I24" sqref="I24"/>
    </sheetView>
  </sheetViews>
  <sheetFormatPr defaultColWidth="9.140625" defaultRowHeight="12.75"/>
  <sheetData>
    <row r="1" spans="2:42" ht="12.75">
      <c r="B1">
        <v>1985</v>
      </c>
      <c r="C1">
        <v>1986</v>
      </c>
      <c r="D1">
        <v>1987</v>
      </c>
      <c r="E1">
        <v>1988</v>
      </c>
      <c r="F1">
        <v>1989</v>
      </c>
      <c r="G1">
        <v>1990</v>
      </c>
      <c r="H1">
        <v>1991</v>
      </c>
      <c r="I1">
        <v>1992</v>
      </c>
      <c r="J1">
        <v>1993</v>
      </c>
      <c r="K1">
        <v>1994</v>
      </c>
      <c r="L1">
        <v>1995</v>
      </c>
      <c r="M1">
        <v>1996</v>
      </c>
      <c r="N1">
        <v>1997</v>
      </c>
      <c r="O1">
        <v>1998</v>
      </c>
      <c r="P1">
        <v>1999</v>
      </c>
      <c r="Q1">
        <v>2000</v>
      </c>
      <c r="R1">
        <v>2001</v>
      </c>
      <c r="S1">
        <v>2002</v>
      </c>
      <c r="T1">
        <v>2003</v>
      </c>
      <c r="U1">
        <v>2004</v>
      </c>
      <c r="V1">
        <v>2005</v>
      </c>
      <c r="W1">
        <v>2006</v>
      </c>
      <c r="X1">
        <v>2007</v>
      </c>
      <c r="Y1">
        <v>2008</v>
      </c>
      <c r="Z1">
        <v>2009</v>
      </c>
      <c r="AA1">
        <v>2010</v>
      </c>
      <c r="AB1">
        <v>2011</v>
      </c>
      <c r="AC1">
        <v>2012</v>
      </c>
      <c r="AD1">
        <v>2013</v>
      </c>
      <c r="AE1">
        <v>2014</v>
      </c>
      <c r="AF1">
        <v>2015</v>
      </c>
      <c r="AG1">
        <v>2016</v>
      </c>
      <c r="AH1">
        <v>2017</v>
      </c>
      <c r="AI1">
        <v>2018</v>
      </c>
      <c r="AJ1">
        <v>2019</v>
      </c>
      <c r="AK1">
        <v>2020</v>
      </c>
      <c r="AL1">
        <v>2021</v>
      </c>
      <c r="AM1">
        <v>2022</v>
      </c>
      <c r="AN1">
        <v>2023</v>
      </c>
      <c r="AO1">
        <v>2024</v>
      </c>
      <c r="AP1">
        <v>2025</v>
      </c>
    </row>
    <row r="3" ht="12.75">
      <c r="A3" t="s">
        <v>23</v>
      </c>
    </row>
    <row r="4" spans="1:42" ht="12.75">
      <c r="A4" t="s">
        <v>1</v>
      </c>
      <c r="B4">
        <v>0.0821702804136146</v>
      </c>
      <c r="C4">
        <v>0.081803007667125</v>
      </c>
      <c r="D4">
        <v>0.0815876812637158</v>
      </c>
      <c r="E4">
        <v>0.0816304683307798</v>
      </c>
      <c r="F4">
        <v>0.0819205530900455</v>
      </c>
      <c r="G4">
        <v>0.0823313653218409</v>
      </c>
      <c r="H4">
        <v>0.0827851630446433</v>
      </c>
      <c r="I4">
        <v>0.0830102348353394</v>
      </c>
      <c r="J4">
        <v>0.0829020813072694</v>
      </c>
      <c r="K4">
        <v>0.082410994361086</v>
      </c>
      <c r="L4">
        <v>0.0815746658506147</v>
      </c>
      <c r="M4">
        <v>0.0779491443129687</v>
      </c>
      <c r="N4">
        <v>0.0742443605811143</v>
      </c>
      <c r="O4">
        <v>0.0708544083650453</v>
      </c>
      <c r="P4">
        <v>0.067808286985587</v>
      </c>
      <c r="Q4">
        <v>0.0650749901845036</v>
      </c>
      <c r="R4">
        <v>0.0641916069196058</v>
      </c>
      <c r="S4">
        <v>0.0633036666693453</v>
      </c>
      <c r="T4">
        <v>0.0623634941351865</v>
      </c>
      <c r="U4">
        <v>0.0613783137022974</v>
      </c>
      <c r="V4">
        <v>0.0603899044915443</v>
      </c>
      <c r="W4">
        <v>0.0594597566607314</v>
      </c>
      <c r="X4">
        <v>0.0585506921192841</v>
      </c>
      <c r="Y4">
        <v>0.0576476302446264</v>
      </c>
      <c r="Z4">
        <v>0.0567551911665667</v>
      </c>
      <c r="AA4">
        <v>0.0558718939681843</v>
      </c>
      <c r="AB4">
        <v>0.0549907221601727</v>
      </c>
      <c r="AC4">
        <v>0.0537996738807466</v>
      </c>
      <c r="AD4">
        <v>0.0529553745796185</v>
      </c>
      <c r="AE4">
        <v>0.0523501178170633</v>
      </c>
      <c r="AF4">
        <v>0.0519137296060599</v>
      </c>
      <c r="AG4">
        <v>0.0515719571005131</v>
      </c>
      <c r="AH4">
        <v>0.0508339672513186</v>
      </c>
      <c r="AI4">
        <v>0.0500556780339304</v>
      </c>
      <c r="AJ4">
        <v>0.0493021335180419</v>
      </c>
      <c r="AK4">
        <v>0.0486017258006054</v>
      </c>
      <c r="AL4">
        <v>0.048000078321366</v>
      </c>
      <c r="AM4">
        <v>0.0474617407569304</v>
      </c>
      <c r="AN4">
        <v>0.0469259894137803</v>
      </c>
      <c r="AO4">
        <v>0.0463901156833256</v>
      </c>
      <c r="AP4">
        <v>0.0458383678688227</v>
      </c>
    </row>
    <row r="5" spans="1:42" ht="12.75">
      <c r="A5" t="s">
        <v>2</v>
      </c>
      <c r="B5">
        <v>0.191383227734718</v>
      </c>
      <c r="C5">
        <v>0.187518884655228</v>
      </c>
      <c r="D5">
        <v>0.18355655803625</v>
      </c>
      <c r="E5">
        <v>0.179444568488595</v>
      </c>
      <c r="F5">
        <v>0.175167633575784</v>
      </c>
      <c r="G5">
        <v>0.170737450602944</v>
      </c>
      <c r="H5">
        <v>0.165955566684537</v>
      </c>
      <c r="I5">
        <v>0.161078120766129</v>
      </c>
      <c r="J5">
        <v>0.156129250053283</v>
      </c>
      <c r="K5">
        <v>0.151014794656236</v>
      </c>
      <c r="L5">
        <v>0.14564241591181</v>
      </c>
      <c r="M5">
        <v>0.139881830301306</v>
      </c>
      <c r="N5">
        <v>0.133887319700146</v>
      </c>
      <c r="O5">
        <v>0.128251319083459</v>
      </c>
      <c r="P5">
        <v>0.12299140371371</v>
      </c>
      <c r="Q5">
        <v>0.118055971520082</v>
      </c>
      <c r="R5">
        <v>0.117051626833771</v>
      </c>
      <c r="S5">
        <v>0.11608510531193</v>
      </c>
      <c r="T5">
        <v>0.115201270206636</v>
      </c>
      <c r="U5">
        <v>0.114415990380192</v>
      </c>
      <c r="V5">
        <v>0.113716760559258</v>
      </c>
      <c r="W5">
        <v>0.113076264446936</v>
      </c>
      <c r="X5">
        <v>0.112412388122239</v>
      </c>
      <c r="Y5">
        <v>0.111706459797908</v>
      </c>
      <c r="Z5">
        <v>0.110972194214039</v>
      </c>
      <c r="AA5">
        <v>0.110236569015843</v>
      </c>
      <c r="AB5">
        <v>0.109528363445909</v>
      </c>
      <c r="AC5">
        <v>0.108828260130995</v>
      </c>
      <c r="AD5">
        <v>0.10813034874345</v>
      </c>
      <c r="AE5">
        <v>0.107438134561597</v>
      </c>
      <c r="AF5">
        <v>0.106751706215316</v>
      </c>
      <c r="AG5">
        <v>0.106068247722033</v>
      </c>
      <c r="AH5">
        <v>0.10524048665086</v>
      </c>
      <c r="AI5">
        <v>0.104581988970113</v>
      </c>
      <c r="AJ5">
        <v>0.104043336390159</v>
      </c>
      <c r="AK5">
        <v>0.103577583036753</v>
      </c>
      <c r="AL5">
        <v>0.103132333557218</v>
      </c>
      <c r="AM5">
        <v>0.10252549673448</v>
      </c>
      <c r="AN5">
        <v>0.101903180888901</v>
      </c>
      <c r="AO5">
        <v>0.10129648872003</v>
      </c>
      <c r="AP5">
        <v>0.100718466141127</v>
      </c>
    </row>
    <row r="6" spans="1:42" ht="12.75">
      <c r="A6" t="s">
        <v>3</v>
      </c>
      <c r="B6">
        <v>0.209300521212552</v>
      </c>
      <c r="C6">
        <v>0.204623701930738</v>
      </c>
      <c r="D6">
        <v>0.199945506959309</v>
      </c>
      <c r="E6">
        <v>0.195216926183371</v>
      </c>
      <c r="F6">
        <v>0.190358795109569</v>
      </c>
      <c r="G6">
        <v>0.185291507422124</v>
      </c>
      <c r="H6">
        <v>0.179596436871511</v>
      </c>
      <c r="I6">
        <v>0.173612747989823</v>
      </c>
      <c r="J6">
        <v>0.167461929370848</v>
      </c>
      <c r="K6">
        <v>0.16119699434062</v>
      </c>
      <c r="L6">
        <v>0.154809479533872</v>
      </c>
      <c r="M6">
        <v>0.151011229152765</v>
      </c>
      <c r="N6">
        <v>0.146964457719865</v>
      </c>
      <c r="O6">
        <v>0.143220904066061</v>
      </c>
      <c r="P6">
        <v>0.139946192789778</v>
      </c>
      <c r="Q6">
        <v>0.137156407458024</v>
      </c>
      <c r="R6">
        <v>0.13457050398558</v>
      </c>
      <c r="S6">
        <v>0.132282122993436</v>
      </c>
      <c r="T6">
        <v>0.130266684669051</v>
      </c>
      <c r="U6">
        <v>0.128504781216216</v>
      </c>
      <c r="V6">
        <v>0.126970622180185</v>
      </c>
      <c r="W6">
        <v>0.125627648018514</v>
      </c>
      <c r="X6">
        <v>0.124430896715686</v>
      </c>
      <c r="Y6">
        <v>0.123338799866746</v>
      </c>
      <c r="Z6">
        <v>0.122324838949702</v>
      </c>
      <c r="AA6">
        <v>0.121379413745521</v>
      </c>
      <c r="AB6">
        <v>0.120502538850315</v>
      </c>
      <c r="AC6">
        <v>0.119710265326615</v>
      </c>
      <c r="AD6">
        <v>0.11900608930771</v>
      </c>
      <c r="AE6">
        <v>0.118379933314662</v>
      </c>
      <c r="AF6">
        <v>0.117811101483742</v>
      </c>
      <c r="AG6">
        <v>0.117282974590878</v>
      </c>
      <c r="AH6">
        <v>0.116797378149008</v>
      </c>
      <c r="AI6">
        <v>0.116351302789728</v>
      </c>
      <c r="AJ6">
        <v>0.115939676773899</v>
      </c>
      <c r="AK6">
        <v>0.115558530258994</v>
      </c>
      <c r="AL6">
        <v>0.115204831382157</v>
      </c>
      <c r="AM6">
        <v>0.114890256423851</v>
      </c>
      <c r="AN6">
        <v>0.114583585277007</v>
      </c>
      <c r="AO6">
        <v>0.114287322155545</v>
      </c>
      <c r="AP6">
        <v>0.114001458051706</v>
      </c>
    </row>
    <row r="7" spans="1:42" ht="12.75">
      <c r="A7" t="s">
        <v>4</v>
      </c>
      <c r="B7">
        <v>0.16560311148488</v>
      </c>
      <c r="C7">
        <v>0.16217499138763</v>
      </c>
      <c r="D7">
        <v>0.158630422022742</v>
      </c>
      <c r="E7">
        <v>0.154982973053662</v>
      </c>
      <c r="F7">
        <v>0.151263826440265</v>
      </c>
      <c r="G7">
        <v>0.14748760634443</v>
      </c>
      <c r="H7">
        <v>0.143422188343802</v>
      </c>
      <c r="I7">
        <v>0.139175795895373</v>
      </c>
      <c r="J7">
        <v>0.134729538230449</v>
      </c>
      <c r="K7">
        <v>0.130049773290771</v>
      </c>
      <c r="L7">
        <v>0.125124923377113</v>
      </c>
      <c r="M7">
        <v>0.123299192692404</v>
      </c>
      <c r="N7">
        <v>0.121329484918474</v>
      </c>
      <c r="O7">
        <v>0.11943546081295</v>
      </c>
      <c r="P7">
        <v>0.117807268412609</v>
      </c>
      <c r="Q7">
        <v>0.116579118498182</v>
      </c>
      <c r="R7">
        <v>0.112475077245911</v>
      </c>
      <c r="S7">
        <v>0.109060810273434</v>
      </c>
      <c r="T7">
        <v>0.106175733322389</v>
      </c>
      <c r="U7">
        <v>0.103703521917282</v>
      </c>
      <c r="V7">
        <v>0.10157373089579</v>
      </c>
      <c r="W7">
        <v>0.0997517539905071</v>
      </c>
      <c r="X7">
        <v>0.0982236785902996</v>
      </c>
      <c r="Y7">
        <v>0.0969835606195875</v>
      </c>
      <c r="Z7">
        <v>0.0960182478916548</v>
      </c>
      <c r="AA7">
        <v>0.0952936460123128</v>
      </c>
      <c r="AB7">
        <v>0.0947473144157807</v>
      </c>
      <c r="AC7">
        <v>0.0943007405252468</v>
      </c>
      <c r="AD7">
        <v>0.0938791974295926</v>
      </c>
      <c r="AE7">
        <v>0.0934411640118466</v>
      </c>
      <c r="AF7">
        <v>0.0929828333337552</v>
      </c>
      <c r="AG7">
        <v>0.0925192383755438</v>
      </c>
      <c r="AH7">
        <v>0.0921326186678142</v>
      </c>
      <c r="AI7">
        <v>0.091850557550976</v>
      </c>
      <c r="AJ7">
        <v>0.0916621200755085</v>
      </c>
      <c r="AK7">
        <v>0.0915256377175601</v>
      </c>
      <c r="AL7">
        <v>0.0913866311779171</v>
      </c>
      <c r="AM7">
        <v>0.0912716742775313</v>
      </c>
      <c r="AN7">
        <v>0.0911869035607115</v>
      </c>
      <c r="AO7">
        <v>0.0911259800829526</v>
      </c>
      <c r="AP7">
        <v>0.0910859579835739</v>
      </c>
    </row>
    <row r="8" spans="1:42" ht="12.75">
      <c r="A8" t="s">
        <v>5</v>
      </c>
      <c r="B8">
        <v>0.110840484810519</v>
      </c>
      <c r="C8">
        <v>0.108959619792684</v>
      </c>
      <c r="D8">
        <v>0.106997609326923</v>
      </c>
      <c r="E8">
        <v>0.104974289672202</v>
      </c>
      <c r="F8">
        <v>0.102874584267196</v>
      </c>
      <c r="G8">
        <v>0.100681805052946</v>
      </c>
      <c r="H8">
        <v>0.0983245987977065</v>
      </c>
      <c r="I8">
        <v>0.0957941268772298</v>
      </c>
      <c r="J8">
        <v>0.093113534444819</v>
      </c>
      <c r="K8">
        <v>0.09031316450035</v>
      </c>
      <c r="L8">
        <v>0.0874242248989084</v>
      </c>
      <c r="M8">
        <v>0.0849735623772558</v>
      </c>
      <c r="N8">
        <v>0.0824524420621746</v>
      </c>
      <c r="O8">
        <v>0.079913820720445</v>
      </c>
      <c r="P8">
        <v>0.0773596465268561</v>
      </c>
      <c r="Q8">
        <v>0.0748063622433892</v>
      </c>
      <c r="R8">
        <v>0.071900852066697</v>
      </c>
      <c r="S8">
        <v>0.0692369742947868</v>
      </c>
      <c r="T8">
        <v>0.0668320718219846</v>
      </c>
      <c r="U8">
        <v>0.0646916280451038</v>
      </c>
      <c r="V8">
        <v>0.0628009959814388</v>
      </c>
      <c r="W8">
        <v>0.0611177843228712</v>
      </c>
      <c r="X8">
        <v>0.0595773832364795</v>
      </c>
      <c r="Y8">
        <v>0.0581198888947863</v>
      </c>
      <c r="Z8">
        <v>0.0567157379213568</v>
      </c>
      <c r="AA8">
        <v>0.0553672302113478</v>
      </c>
      <c r="AB8">
        <v>0.0540983554869672</v>
      </c>
      <c r="AC8">
        <v>0.0529419448983008</v>
      </c>
      <c r="AD8">
        <v>0.0519275785067619</v>
      </c>
      <c r="AE8">
        <v>0.0510697775882418</v>
      </c>
      <c r="AF8">
        <v>0.0503570249404413</v>
      </c>
      <c r="AG8">
        <v>0.0497466402542951</v>
      </c>
      <c r="AH8">
        <v>0.0491809780978173</v>
      </c>
      <c r="AI8">
        <v>0.0486022266691786</v>
      </c>
      <c r="AJ8">
        <v>0.0479846765368716</v>
      </c>
      <c r="AK8">
        <v>0.0473347380460976</v>
      </c>
      <c r="AL8">
        <v>0.0466719285896611</v>
      </c>
      <c r="AM8">
        <v>0.0460871430402775</v>
      </c>
      <c r="AN8">
        <v>0.0455995587821849</v>
      </c>
      <c r="AO8">
        <v>0.0451962055279001</v>
      </c>
      <c r="AP8">
        <v>0.0448439751775035</v>
      </c>
    </row>
    <row r="9" spans="1:42" ht="12.75">
      <c r="A9" t="s">
        <v>6</v>
      </c>
      <c r="B9">
        <v>0.0581235487752444</v>
      </c>
      <c r="C9">
        <v>0.0567005131446565</v>
      </c>
      <c r="D9">
        <v>0.055521857481365</v>
      </c>
      <c r="E9">
        <v>0.0543801230581718</v>
      </c>
      <c r="F9">
        <v>0.0531781766773149</v>
      </c>
      <c r="G9">
        <v>0.0518826508261494</v>
      </c>
      <c r="H9">
        <v>0.0504825059899077</v>
      </c>
      <c r="I9">
        <v>0.0490014084191177</v>
      </c>
      <c r="J9">
        <v>0.047454002543429</v>
      </c>
      <c r="K9">
        <v>0.0458345117121721</v>
      </c>
      <c r="L9">
        <v>0.0441402522621886</v>
      </c>
      <c r="M9">
        <v>0.0418877161785746</v>
      </c>
      <c r="N9">
        <v>0.0395980189497827</v>
      </c>
      <c r="O9">
        <v>0.0372932841829178</v>
      </c>
      <c r="P9">
        <v>0.0349913725501566</v>
      </c>
      <c r="Q9">
        <v>0.0327151211933439</v>
      </c>
      <c r="R9">
        <v>0.0309699914542474</v>
      </c>
      <c r="S9">
        <v>0.0293837824596025</v>
      </c>
      <c r="T9">
        <v>0.0279365406396942</v>
      </c>
      <c r="U9">
        <v>0.0266020705791013</v>
      </c>
      <c r="V9">
        <v>0.0253625013452761</v>
      </c>
      <c r="W9">
        <v>0.0242166928428991</v>
      </c>
      <c r="X9">
        <v>0.0231734523020371</v>
      </c>
      <c r="Y9">
        <v>0.0222476195232028</v>
      </c>
      <c r="Z9">
        <v>0.0214445748391261</v>
      </c>
      <c r="AA9">
        <v>0.0207554217837783</v>
      </c>
      <c r="AB9">
        <v>0.0201520065974032</v>
      </c>
      <c r="AC9">
        <v>0.0195969102382234</v>
      </c>
      <c r="AD9">
        <v>0.0190588182053735</v>
      </c>
      <c r="AE9">
        <v>0.0185269383732913</v>
      </c>
      <c r="AF9">
        <v>0.0180079482679839</v>
      </c>
      <c r="AG9">
        <v>0.0175200790925624</v>
      </c>
      <c r="AH9">
        <v>0.0170828408746657</v>
      </c>
      <c r="AI9">
        <v>0.0167106211650059</v>
      </c>
      <c r="AJ9">
        <v>0.016407260457034</v>
      </c>
      <c r="AK9">
        <v>0.0161637919361331</v>
      </c>
      <c r="AL9">
        <v>0.0159565028924961</v>
      </c>
      <c r="AM9">
        <v>0.0157592760084787</v>
      </c>
      <c r="AN9">
        <v>0.0155478145721675</v>
      </c>
      <c r="AO9">
        <v>0.0153162599650945</v>
      </c>
      <c r="AP9">
        <v>0.0150711423398408</v>
      </c>
    </row>
    <row r="10" spans="1:42" ht="12.75">
      <c r="A10" t="s">
        <v>7</v>
      </c>
      <c r="B10">
        <v>0.0232879424419412</v>
      </c>
      <c r="C10">
        <v>0.0215632433592021</v>
      </c>
      <c r="D10">
        <v>0.0198108400094301</v>
      </c>
      <c r="E10">
        <v>0.0181408368353751</v>
      </c>
      <c r="F10">
        <v>0.0166335524385061</v>
      </c>
      <c r="G10">
        <v>0.0153221607954519</v>
      </c>
      <c r="H10">
        <v>0.0141502356739763</v>
      </c>
      <c r="I10">
        <v>0.0129907464804475</v>
      </c>
      <c r="J10">
        <v>0.0117477464828909</v>
      </c>
      <c r="K10">
        <v>0.0104053099436831</v>
      </c>
      <c r="L10">
        <v>0.00898505677110919</v>
      </c>
      <c r="M10">
        <v>0.00890233576589827</v>
      </c>
      <c r="N10">
        <v>0.00900513241094279</v>
      </c>
      <c r="O10">
        <v>0.00914566297293663</v>
      </c>
      <c r="P10">
        <v>0.00931754238506249</v>
      </c>
      <c r="Q10">
        <v>0.00951038145119884</v>
      </c>
      <c r="R10">
        <v>0.00837957429250307</v>
      </c>
      <c r="S10">
        <v>0.00745971999153852</v>
      </c>
      <c r="T10">
        <v>0.00670859306630157</v>
      </c>
      <c r="U10">
        <v>0.00609297350801386</v>
      </c>
      <c r="V10">
        <v>0.00558702054249454</v>
      </c>
      <c r="W10">
        <v>0.00516995868387269</v>
      </c>
      <c r="X10">
        <v>0.00482679689148734</v>
      </c>
      <c r="Y10">
        <v>0.00454244736143971</v>
      </c>
      <c r="Z10">
        <v>0.00430169754366841</v>
      </c>
      <c r="AA10">
        <v>0.00409302972403709</v>
      </c>
      <c r="AB10">
        <v>0.00391177852259973</v>
      </c>
      <c r="AC10">
        <v>0.00375817938180899</v>
      </c>
      <c r="AD10">
        <v>0.0036354817634629</v>
      </c>
      <c r="AE10">
        <v>0.00354563776891802</v>
      </c>
      <c r="AF10">
        <v>0.0034868382044851</v>
      </c>
      <c r="AG10">
        <v>0.00344988466086617</v>
      </c>
      <c r="AH10">
        <v>0.00342049271913261</v>
      </c>
      <c r="AI10">
        <v>0.00338603654677506</v>
      </c>
      <c r="AJ10">
        <v>0.00334126829564197</v>
      </c>
      <c r="AK10">
        <v>0.00328824086051747</v>
      </c>
      <c r="AL10">
        <v>0.00323453835784807</v>
      </c>
      <c r="AM10">
        <v>0.00319027616086523</v>
      </c>
      <c r="AN10">
        <v>0.00316387295961453</v>
      </c>
      <c r="AO10">
        <v>0.00315925843813438</v>
      </c>
      <c r="AP10">
        <v>0.00317429122308561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9"/>
  <sheetViews>
    <sheetView workbookViewId="0" topLeftCell="A1">
      <selection activeCell="B24" sqref="B24"/>
    </sheetView>
  </sheetViews>
  <sheetFormatPr defaultColWidth="9.140625" defaultRowHeight="12.75"/>
  <sheetData>
    <row r="1" spans="2:7" ht="12.75">
      <c r="B1" t="s">
        <v>25</v>
      </c>
      <c r="C1" t="s">
        <v>27</v>
      </c>
      <c r="D1" t="s">
        <v>28</v>
      </c>
      <c r="E1" t="s">
        <v>29</v>
      </c>
      <c r="F1" t="s">
        <v>30</v>
      </c>
      <c r="G1" t="s">
        <v>31</v>
      </c>
    </row>
    <row r="3" ht="12.75">
      <c r="A3" t="s">
        <v>26</v>
      </c>
    </row>
    <row r="4" spans="1:7" ht="12.75">
      <c r="A4" t="s">
        <v>0</v>
      </c>
      <c r="B4">
        <f>'Start profile calcs'!E20/SUM('Start profile calcs'!E16:E20)</f>
        <v>0.31561303513036626</v>
      </c>
      <c r="C4">
        <v>0.316149073128891</v>
      </c>
      <c r="D4">
        <v>0.496311859621051</v>
      </c>
      <c r="E4">
        <v>0.597854465582709</v>
      </c>
      <c r="F4">
        <v>0.650082787625512</v>
      </c>
      <c r="G4">
        <v>0.677310184257828</v>
      </c>
    </row>
    <row r="5" spans="1:7" ht="12.75">
      <c r="A5" t="s">
        <v>1</v>
      </c>
      <c r="B5">
        <f>'Start profile calcs'!E25/SUM('Start profile calcs'!E21:E25)</f>
        <v>0.285827768672315</v>
      </c>
      <c r="C5">
        <v>0.285022969884672</v>
      </c>
      <c r="D5">
        <v>0.392952030588129</v>
      </c>
      <c r="E5">
        <v>0.503648219905172</v>
      </c>
      <c r="F5">
        <v>0.563151039006156</v>
      </c>
      <c r="G5">
        <v>0.594817139985104</v>
      </c>
    </row>
    <row r="6" spans="1:7" ht="12.75">
      <c r="A6" t="s">
        <v>2</v>
      </c>
      <c r="B6">
        <f>'Start profile calcs'!E30/SUM('Start profile calcs'!E26:E30)</f>
        <v>0.20850720199068887</v>
      </c>
      <c r="C6">
        <v>0.205310611247465</v>
      </c>
      <c r="D6">
        <v>0.287818949092481</v>
      </c>
      <c r="E6">
        <v>0.400715742485498</v>
      </c>
      <c r="F6">
        <v>0.465050218710077</v>
      </c>
      <c r="G6">
        <v>0.500239481994966</v>
      </c>
    </row>
    <row r="7" spans="1:7" ht="12.75">
      <c r="A7" t="s">
        <v>3</v>
      </c>
      <c r="B7">
        <v>0.191655380088646</v>
      </c>
      <c r="C7">
        <v>0.191655380088646</v>
      </c>
      <c r="D7">
        <v>0.185681327796778</v>
      </c>
      <c r="E7">
        <v>0.250112044962509</v>
      </c>
      <c r="F7">
        <v>0.302301767678881</v>
      </c>
      <c r="G7">
        <v>0.327806137987281</v>
      </c>
    </row>
    <row r="8" spans="1:7" ht="12.75">
      <c r="A8" t="s">
        <v>4</v>
      </c>
      <c r="B8">
        <v>0.186157149412231</v>
      </c>
      <c r="C8">
        <v>0.186157149412231</v>
      </c>
      <c r="D8">
        <v>0.157138342621833</v>
      </c>
      <c r="E8">
        <v>0.183050478158157</v>
      </c>
      <c r="F8">
        <v>0.212705871269681</v>
      </c>
      <c r="G8">
        <v>0.232552309879035</v>
      </c>
    </row>
    <row r="9" spans="1:7" ht="12.75">
      <c r="A9" t="s">
        <v>5</v>
      </c>
      <c r="B9">
        <v>0.188475880673841</v>
      </c>
      <c r="C9">
        <v>0.188475880673841</v>
      </c>
      <c r="D9">
        <v>0.158196554194425</v>
      </c>
      <c r="E9">
        <v>0.165396085243724</v>
      </c>
      <c r="F9">
        <v>0.180004931802591</v>
      </c>
      <c r="G9">
        <v>0.199206455265603</v>
      </c>
    </row>
    <row r="10" spans="1:7" ht="12.75">
      <c r="A10" t="s">
        <v>6</v>
      </c>
      <c r="B10">
        <v>0.187281244479957</v>
      </c>
      <c r="C10">
        <v>0.187281244479957</v>
      </c>
      <c r="D10">
        <v>0.155779764745383</v>
      </c>
      <c r="E10">
        <v>0.153093911866401</v>
      </c>
      <c r="F10">
        <v>0.157441673233455</v>
      </c>
      <c r="G10">
        <v>0.173417924900405</v>
      </c>
    </row>
    <row r="11" spans="1:7" ht="12.75">
      <c r="A11" t="s">
        <v>7</v>
      </c>
      <c r="B11">
        <v>0.18519465855914</v>
      </c>
      <c r="C11">
        <v>0.18519465855914</v>
      </c>
      <c r="D11">
        <v>0.160425175757986</v>
      </c>
      <c r="E11">
        <v>0.155433467247719</v>
      </c>
      <c r="F11">
        <v>0.153227040917068</v>
      </c>
      <c r="G11">
        <v>0.168719552841773</v>
      </c>
    </row>
    <row r="12" spans="1:7" ht="12.75">
      <c r="A12" t="s">
        <v>8</v>
      </c>
      <c r="B12">
        <v>0.186823239505617</v>
      </c>
      <c r="C12">
        <v>0.186823239505617</v>
      </c>
      <c r="D12">
        <v>0.160648849628069</v>
      </c>
      <c r="E12">
        <v>0.158240934068853</v>
      </c>
      <c r="F12">
        <v>0.155238335330375</v>
      </c>
      <c r="G12">
        <v>0.161176727679316</v>
      </c>
    </row>
    <row r="13" spans="1:7" ht="12.75">
      <c r="A13" t="s">
        <v>9</v>
      </c>
      <c r="B13">
        <v>0.178525201112575</v>
      </c>
      <c r="C13">
        <v>0.178525201112575</v>
      </c>
      <c r="D13">
        <v>0.155130309904146</v>
      </c>
      <c r="E13">
        <v>0.154302644108232</v>
      </c>
      <c r="F13">
        <v>0.152782672839266</v>
      </c>
      <c r="G13">
        <v>0.159512130995403</v>
      </c>
    </row>
    <row r="14" spans="1:7" ht="12.75">
      <c r="A14" t="s">
        <v>10</v>
      </c>
      <c r="B14">
        <v>0.186531309325184</v>
      </c>
      <c r="C14">
        <v>0.186531309325184</v>
      </c>
      <c r="D14">
        <v>0.0784743651489961</v>
      </c>
      <c r="E14">
        <v>0.132187402659985</v>
      </c>
      <c r="F14">
        <v>0.150159620686377</v>
      </c>
      <c r="G14">
        <v>0.151735643698219</v>
      </c>
    </row>
    <row r="15" spans="1:7" ht="12.75">
      <c r="A15" t="s">
        <v>11</v>
      </c>
      <c r="B15">
        <v>0.168303081497113</v>
      </c>
      <c r="C15">
        <v>0.168303081497113</v>
      </c>
      <c r="D15">
        <v>0.0428534079080207</v>
      </c>
      <c r="E15">
        <v>0.0694388848644872</v>
      </c>
      <c r="F15">
        <v>0.0920750840126234</v>
      </c>
      <c r="G15">
        <v>0.104997296175777</v>
      </c>
    </row>
    <row r="16" spans="1:7" ht="12.75">
      <c r="A16" t="s">
        <v>12</v>
      </c>
      <c r="B16">
        <v>0.160800820488676</v>
      </c>
      <c r="C16">
        <v>0.160800820488676</v>
      </c>
      <c r="D16">
        <v>0.027371345889191</v>
      </c>
      <c r="E16">
        <v>0.0394653782700513</v>
      </c>
      <c r="F16">
        <v>0.0531843111060857</v>
      </c>
      <c r="G16">
        <v>0.0714628370626253</v>
      </c>
    </row>
    <row r="17" spans="1:7" ht="12.75">
      <c r="A17" t="s">
        <v>13</v>
      </c>
      <c r="B17">
        <v>0.132466869522543</v>
      </c>
      <c r="C17">
        <v>0.132466869522543</v>
      </c>
      <c r="D17">
        <v>0.0205672500569012</v>
      </c>
      <c r="E17">
        <v>0.0266663417325452</v>
      </c>
      <c r="F17">
        <v>0.0357299621213256</v>
      </c>
      <c r="G17">
        <v>0.0572461186042591</v>
      </c>
    </row>
    <row r="18" spans="1:7" ht="12.75">
      <c r="A18" t="s">
        <v>14</v>
      </c>
      <c r="B18">
        <v>0.115410486257268</v>
      </c>
      <c r="C18">
        <v>0.115410486257268</v>
      </c>
      <c r="D18">
        <v>0.00961662388115095</v>
      </c>
      <c r="E18">
        <v>0.0114761866897736</v>
      </c>
      <c r="F18">
        <v>0.0153365347505105</v>
      </c>
      <c r="G18">
        <v>0.0277248867911157</v>
      </c>
    </row>
    <row r="19" spans="1:7" ht="12.75">
      <c r="A19" t="s">
        <v>15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</row>
    <row r="21" ht="12.75">
      <c r="A21" t="s">
        <v>32</v>
      </c>
    </row>
    <row r="22" spans="1:7" ht="12.75">
      <c r="A22" t="s">
        <v>0</v>
      </c>
      <c r="B22">
        <f>'Start profile calcs'!F20/SUM('Start profile calcs'!F16:F20)</f>
        <v>0.30942652219470484</v>
      </c>
      <c r="C22">
        <v>0.297417862781112</v>
      </c>
      <c r="D22">
        <v>0.385063651755393</v>
      </c>
      <c r="E22">
        <v>0.473946166330872</v>
      </c>
      <c r="F22">
        <v>0.531667841878024</v>
      </c>
      <c r="G22">
        <v>0.562419811806377</v>
      </c>
    </row>
    <row r="23" spans="1:7" ht="12.75">
      <c r="A23" t="s">
        <v>1</v>
      </c>
      <c r="B23">
        <f>'Start profile calcs'!F25/SUM('Start profile calcs'!F21:F25)</f>
        <v>0.2559351076691787</v>
      </c>
      <c r="C23">
        <v>0.256750828202823</v>
      </c>
      <c r="D23">
        <v>0.280141016519152</v>
      </c>
      <c r="E23">
        <v>0.369520627083974</v>
      </c>
      <c r="F23">
        <v>0.43071221665527</v>
      </c>
      <c r="G23">
        <v>0.46424526294566</v>
      </c>
    </row>
    <row r="24" spans="1:7" ht="12.75">
      <c r="A24" t="s">
        <v>2</v>
      </c>
      <c r="B24">
        <f>'Start profile calcs'!F30/SUM('Start profile calcs'!F26:F30)</f>
        <v>0.19648939989095626</v>
      </c>
      <c r="C24">
        <v>0.197797624650933</v>
      </c>
      <c r="D24">
        <v>0.183302730197036</v>
      </c>
      <c r="E24">
        <v>0.265166250909055</v>
      </c>
      <c r="F24">
        <v>0.325274177172955</v>
      </c>
      <c r="G24">
        <v>0.359470543</v>
      </c>
    </row>
    <row r="25" spans="1:7" ht="12.75">
      <c r="A25" t="s">
        <v>3</v>
      </c>
      <c r="B25">
        <v>0.195455565954046</v>
      </c>
      <c r="C25">
        <v>0.195455565954046</v>
      </c>
      <c r="D25">
        <v>0.15462423928891</v>
      </c>
      <c r="E25">
        <v>0.186229288264044</v>
      </c>
      <c r="F25">
        <v>0.221222025126691</v>
      </c>
      <c r="G25">
        <v>0.24867902</v>
      </c>
    </row>
    <row r="26" spans="1:7" ht="12.75">
      <c r="A26" t="s">
        <v>4</v>
      </c>
      <c r="B26">
        <v>0.189404048862299</v>
      </c>
      <c r="C26">
        <v>0.189404048862299</v>
      </c>
      <c r="D26">
        <v>0.145970125087863</v>
      </c>
      <c r="E26">
        <v>0.157900080581861</v>
      </c>
      <c r="F26">
        <v>0.175015105651455</v>
      </c>
      <c r="G26">
        <v>0.194097174</v>
      </c>
    </row>
    <row r="27" spans="1:7" ht="12.75">
      <c r="A27" t="s">
        <v>5</v>
      </c>
      <c r="B27">
        <v>0.192759224070498</v>
      </c>
      <c r="C27">
        <v>0.192759224070498</v>
      </c>
      <c r="D27">
        <v>0.147086900876769</v>
      </c>
      <c r="E27">
        <v>0.151818711425475</v>
      </c>
      <c r="F27">
        <v>0.160649244196935</v>
      </c>
      <c r="G27">
        <v>0.18204166</v>
      </c>
    </row>
    <row r="28" spans="1:7" ht="12.75">
      <c r="A28" t="s">
        <v>6</v>
      </c>
      <c r="B28">
        <v>0.191653554817394</v>
      </c>
      <c r="C28">
        <v>0.191653554817394</v>
      </c>
      <c r="D28">
        <v>0.135598978541131</v>
      </c>
      <c r="E28">
        <v>0.136084771859685</v>
      </c>
      <c r="F28">
        <v>0.140559849863559</v>
      </c>
      <c r="G28">
        <v>0.161241171</v>
      </c>
    </row>
    <row r="29" spans="1:7" ht="12.75">
      <c r="A29" t="s">
        <v>7</v>
      </c>
      <c r="B29">
        <v>0.190097605131913</v>
      </c>
      <c r="C29">
        <v>0.190097605131913</v>
      </c>
      <c r="D29">
        <v>0.129938139700116</v>
      </c>
      <c r="E29">
        <v>0.132485011176305</v>
      </c>
      <c r="F29">
        <v>0.133913253660553</v>
      </c>
      <c r="G29">
        <v>0.154599905</v>
      </c>
    </row>
    <row r="30" spans="1:7" ht="12.75">
      <c r="A30" t="s">
        <v>8</v>
      </c>
      <c r="B30">
        <v>0.191788926267879</v>
      </c>
      <c r="C30">
        <v>0.191788926267879</v>
      </c>
      <c r="D30">
        <v>0.117234009946629</v>
      </c>
      <c r="E30">
        <v>0.123272203386588</v>
      </c>
      <c r="F30">
        <v>0.12478646861558</v>
      </c>
      <c r="G30">
        <v>0.140306396</v>
      </c>
    </row>
    <row r="31" spans="1:7" ht="12.75">
      <c r="A31" t="s">
        <v>9</v>
      </c>
      <c r="B31">
        <v>0.182483148233864</v>
      </c>
      <c r="C31">
        <v>0.182483148233864</v>
      </c>
      <c r="D31">
        <v>0.0926751906544534</v>
      </c>
      <c r="E31">
        <v>0.103783647106528</v>
      </c>
      <c r="F31">
        <v>0.108337197006431</v>
      </c>
      <c r="G31">
        <v>0.124835914</v>
      </c>
    </row>
    <row r="32" spans="1:7" ht="12.75">
      <c r="A32" t="s">
        <v>10</v>
      </c>
      <c r="B32">
        <v>0.190386165050179</v>
      </c>
      <c r="C32">
        <v>0.190386165050179</v>
      </c>
      <c r="D32">
        <v>0.0661248235520386</v>
      </c>
      <c r="E32">
        <v>0.0936092889464299</v>
      </c>
      <c r="F32">
        <v>0.103683849285781</v>
      </c>
      <c r="G32">
        <v>0.107068785</v>
      </c>
    </row>
    <row r="33" spans="1:7" ht="12.75">
      <c r="A33" t="s">
        <v>11</v>
      </c>
      <c r="B33">
        <v>0.173349116935957</v>
      </c>
      <c r="C33">
        <v>0.173349116935957</v>
      </c>
      <c r="D33">
        <v>0.0370436864059233</v>
      </c>
      <c r="E33">
        <v>0.0529436787577344</v>
      </c>
      <c r="F33">
        <v>0.0647825406739752</v>
      </c>
      <c r="G33">
        <v>0.071233247</v>
      </c>
    </row>
    <row r="34" spans="1:7" ht="12.75">
      <c r="A34" t="s">
        <v>12</v>
      </c>
      <c r="B34">
        <v>0.169490109375186</v>
      </c>
      <c r="C34">
        <v>0.169490109375186</v>
      </c>
      <c r="D34">
        <v>0.0206715721101953</v>
      </c>
      <c r="E34">
        <v>0.0285853620369947</v>
      </c>
      <c r="F34">
        <v>0.0373963699362075</v>
      </c>
      <c r="G34">
        <v>0.047151127</v>
      </c>
    </row>
    <row r="35" spans="1:7" ht="12.75">
      <c r="A35" t="s">
        <v>13</v>
      </c>
      <c r="B35">
        <v>0.141993935617246</v>
      </c>
      <c r="C35">
        <v>0.141993935617246</v>
      </c>
      <c r="D35">
        <v>0.0134039397499446</v>
      </c>
      <c r="E35">
        <v>0.0171074513146533</v>
      </c>
      <c r="F35">
        <v>0.0226510352431749</v>
      </c>
      <c r="G35">
        <v>0.034639359</v>
      </c>
    </row>
    <row r="36" spans="1:7" ht="12.75">
      <c r="A36" t="s">
        <v>14</v>
      </c>
      <c r="B36">
        <v>0.128385057386828</v>
      </c>
      <c r="C36">
        <v>0.128385057386828</v>
      </c>
      <c r="D36">
        <v>0.00720586872924713</v>
      </c>
      <c r="E36">
        <v>0.00855998579833152</v>
      </c>
      <c r="F36">
        <v>0.0114751160925723</v>
      </c>
      <c r="G36">
        <v>0.018668523</v>
      </c>
    </row>
    <row r="37" spans="1:7" ht="12.75">
      <c r="A37" t="s">
        <v>15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</row>
    <row r="39" ht="12.75">
      <c r="A39" t="s">
        <v>33</v>
      </c>
    </row>
    <row r="40" spans="1:2" ht="12.75">
      <c r="A40" t="s">
        <v>0</v>
      </c>
      <c r="B40">
        <f>'Start profile calcs'!C20/SUM('Start profile calcs'!C16:C20)</f>
        <v>0.1831625466680548</v>
      </c>
    </row>
    <row r="41" spans="1:2" ht="12.75">
      <c r="A41" t="s">
        <v>1</v>
      </c>
      <c r="B41">
        <f>'Start profile calcs'!C25/SUM('Start profile calcs'!C21:C25)</f>
        <v>0.13701584651886156</v>
      </c>
    </row>
    <row r="42" spans="1:2" ht="12.75">
      <c r="A42" t="s">
        <v>2</v>
      </c>
      <c r="B42">
        <f>'Start profile calcs'!C30/SUM('Start profile calcs'!C26:C30)</f>
        <v>0.06457513186077657</v>
      </c>
    </row>
    <row r="43" spans="1:2" ht="12.75">
      <c r="A43" t="s">
        <v>3</v>
      </c>
      <c r="B43">
        <v>0</v>
      </c>
    </row>
    <row r="45" ht="12.75">
      <c r="A45" t="s">
        <v>34</v>
      </c>
    </row>
    <row r="46" spans="1:2" ht="12.75">
      <c r="A46" t="s">
        <v>0</v>
      </c>
      <c r="B46">
        <f>'Start profile calcs'!D20/SUM('Start profile calcs'!D16:D20)</f>
        <v>0.17390371070713992</v>
      </c>
    </row>
    <row r="47" spans="1:2" ht="12.75">
      <c r="A47" t="s">
        <v>1</v>
      </c>
      <c r="B47">
        <f>'Start profile calcs'!D25/SUM('Start profile calcs'!D21:D25)</f>
        <v>0.10161547327883749</v>
      </c>
    </row>
    <row r="48" spans="1:2" ht="12.75">
      <c r="A48" t="s">
        <v>2</v>
      </c>
      <c r="B48">
        <f>'Start profile calcs'!D30/SUM('Start profile calcs'!D26:D30)</f>
        <v>0.05917177265989428</v>
      </c>
    </row>
    <row r="49" spans="1:2" ht="12.75">
      <c r="A49" t="s">
        <v>3</v>
      </c>
      <c r="B49">
        <v>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5"/>
  <sheetViews>
    <sheetView workbookViewId="0" topLeftCell="A1">
      <selection activeCell="A1" sqref="A1"/>
    </sheetView>
  </sheetViews>
  <sheetFormatPr defaultColWidth="9.140625" defaultRowHeight="12.75"/>
  <sheetData>
    <row r="1" spans="2:3" ht="12.75">
      <c r="B1" t="s">
        <v>35</v>
      </c>
      <c r="C1" t="s">
        <v>36</v>
      </c>
    </row>
    <row r="3" ht="12.75">
      <c r="A3" t="s">
        <v>64</v>
      </c>
    </row>
    <row r="4" spans="1:3" ht="12.75">
      <c r="A4" t="s">
        <v>0</v>
      </c>
      <c r="B4">
        <v>0.5810082793401345</v>
      </c>
      <c r="C4">
        <v>1.4439449872843926</v>
      </c>
    </row>
    <row r="5" spans="1:3" ht="12.75">
      <c r="A5" t="s">
        <v>1</v>
      </c>
      <c r="B5">
        <v>7.3</v>
      </c>
      <c r="C5">
        <v>14.6</v>
      </c>
    </row>
    <row r="6" spans="1:3" ht="12.75">
      <c r="A6" t="s">
        <v>2</v>
      </c>
      <c r="B6">
        <v>15.912973294013465</v>
      </c>
      <c r="C6">
        <v>23.313066265997836</v>
      </c>
    </row>
    <row r="7" spans="1:3" ht="12.75">
      <c r="A7" t="s">
        <v>3</v>
      </c>
      <c r="B7">
        <v>20.631560615892486</v>
      </c>
      <c r="C7">
        <v>21.531926998707032</v>
      </c>
    </row>
    <row r="8" spans="1:3" ht="12.75">
      <c r="A8" t="s">
        <v>4</v>
      </c>
      <c r="B8">
        <v>20.753999360823002</v>
      </c>
      <c r="C8">
        <v>15.22081829026947</v>
      </c>
    </row>
    <row r="9" spans="1:3" ht="12.75">
      <c r="A9" t="s">
        <v>5</v>
      </c>
      <c r="B9">
        <v>17.952648285752417</v>
      </c>
      <c r="C9">
        <v>9.177640072611805</v>
      </c>
    </row>
    <row r="10" spans="1:3" ht="12.75">
      <c r="A10" t="s">
        <v>6</v>
      </c>
      <c r="B10">
        <v>14.049106692574702</v>
      </c>
      <c r="C10">
        <v>4.979452397881109</v>
      </c>
    </row>
    <row r="11" spans="1:3" ht="12.75">
      <c r="A11" t="s">
        <v>7</v>
      </c>
      <c r="B11">
        <v>10.236904993611233</v>
      </c>
      <c r="C11">
        <v>2.5059216067386028</v>
      </c>
    </row>
    <row r="12" spans="1:3" ht="12.75">
      <c r="A12" t="s">
        <v>8</v>
      </c>
      <c r="B12">
        <v>7.070883899296548</v>
      </c>
      <c r="C12">
        <v>1.1920432393800515</v>
      </c>
    </row>
    <row r="13" spans="1:3" ht="12.75">
      <c r="A13" t="s">
        <v>9</v>
      </c>
      <c r="B13">
        <v>4.685337192281734</v>
      </c>
      <c r="C13">
        <v>0.5427629214588465</v>
      </c>
    </row>
    <row r="14" spans="1:3" ht="12.75">
      <c r="A14" t="s">
        <v>10</v>
      </c>
      <c r="B14">
        <v>3.003224642825881</v>
      </c>
      <c r="C14">
        <v>0.23863487777232928</v>
      </c>
    </row>
    <row r="15" spans="1:3" ht="12.75">
      <c r="A15" t="s">
        <v>11</v>
      </c>
      <c r="B15">
        <v>1.8734515746613363</v>
      </c>
      <c r="C15">
        <v>0.10196055872073338</v>
      </c>
    </row>
    <row r="16" spans="1:3" ht="12.75">
      <c r="A16" t="s">
        <v>12</v>
      </c>
      <c r="B16">
        <v>1.1425466632171286</v>
      </c>
      <c r="C16">
        <v>0.04253827723263503</v>
      </c>
    </row>
    <row r="17" spans="1:3" ht="12.75">
      <c r="A17" t="s">
        <v>13</v>
      </c>
      <c r="B17">
        <v>0.6835903724894272</v>
      </c>
      <c r="C17">
        <v>0.01739289832266527</v>
      </c>
    </row>
    <row r="18" spans="1:3" ht="12.75">
      <c r="A18" t="s">
        <v>14</v>
      </c>
      <c r="B18">
        <v>0.40234365244492853</v>
      </c>
      <c r="C18">
        <v>0.006989738377516829</v>
      </c>
    </row>
    <row r="19" spans="1:3" ht="12.75">
      <c r="A19" t="s">
        <v>15</v>
      </c>
      <c r="B19">
        <v>0.2334684327384049</v>
      </c>
      <c r="C19">
        <v>0.0027672499891477436</v>
      </c>
    </row>
    <row r="21" ht="12.75">
      <c r="A21" t="s">
        <v>65</v>
      </c>
    </row>
    <row r="22" spans="1:3" ht="12.75">
      <c r="A22" t="s">
        <v>66</v>
      </c>
      <c r="B22">
        <v>0.64</v>
      </c>
      <c r="C22">
        <v>0.54</v>
      </c>
    </row>
    <row r="23" spans="1:3" ht="12.75">
      <c r="A23" t="s">
        <v>67</v>
      </c>
      <c r="B23">
        <v>0.41</v>
      </c>
      <c r="C23">
        <v>0.17</v>
      </c>
    </row>
    <row r="25" ht="12.75">
      <c r="A25" t="s">
        <v>68</v>
      </c>
    </row>
    <row r="26" spans="2:3" ht="12.75">
      <c r="B26">
        <v>0.19</v>
      </c>
      <c r="C26">
        <v>0.6</v>
      </c>
    </row>
    <row r="28" ht="12.75">
      <c r="A28" t="s">
        <v>73</v>
      </c>
    </row>
    <row r="29" ht="12.75">
      <c r="B29">
        <v>0.5</v>
      </c>
    </row>
    <row r="31" ht="12.75">
      <c r="A31" t="s">
        <v>81</v>
      </c>
    </row>
    <row r="32" ht="12.75">
      <c r="B32">
        <v>0.56</v>
      </c>
    </row>
    <row r="34" ht="12.75">
      <c r="A34" t="s">
        <v>89</v>
      </c>
    </row>
    <row r="35" ht="12.75">
      <c r="B35">
        <v>0.5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1">
      <selection activeCell="C26" sqref="C26"/>
    </sheetView>
  </sheetViews>
  <sheetFormatPr defaultColWidth="9.140625" defaultRowHeight="12.75"/>
  <sheetData>
    <row r="1" spans="2:3" ht="12.75">
      <c r="B1" t="s">
        <v>35</v>
      </c>
      <c r="C1" t="s">
        <v>36</v>
      </c>
    </row>
    <row r="3" ht="12.75">
      <c r="A3" t="s">
        <v>37</v>
      </c>
    </row>
    <row r="4" spans="1:3" ht="12.75">
      <c r="A4" t="s">
        <v>0</v>
      </c>
      <c r="B4">
        <v>0</v>
      </c>
      <c r="C4">
        <v>0</v>
      </c>
    </row>
    <row r="5" spans="1:3" ht="12.75">
      <c r="A5" t="s">
        <v>1</v>
      </c>
      <c r="B5">
        <v>0.004008021397538822</v>
      </c>
      <c r="C5">
        <v>0.020202707317519466</v>
      </c>
    </row>
    <row r="6" spans="1:3" ht="12.75">
      <c r="A6" t="s">
        <v>2</v>
      </c>
      <c r="B6">
        <v>0.03562717764315116</v>
      </c>
      <c r="C6">
        <v>0.0725706928348355</v>
      </c>
    </row>
    <row r="7" spans="1:3" ht="12.75">
      <c r="A7" t="s">
        <v>3</v>
      </c>
      <c r="B7">
        <v>0.11653381625595151</v>
      </c>
      <c r="C7">
        <v>0.0998203352822109</v>
      </c>
    </row>
    <row r="8" spans="1:3" ht="12.75">
      <c r="A8" t="s">
        <v>4</v>
      </c>
      <c r="B8">
        <v>0.12783337150988489</v>
      </c>
      <c r="C8">
        <v>0.09211528890780563</v>
      </c>
    </row>
    <row r="9" spans="1:3" ht="12.75">
      <c r="A9" t="s">
        <v>5</v>
      </c>
      <c r="B9">
        <v>0.11878353598996698</v>
      </c>
      <c r="C9">
        <v>0.0779615414697118</v>
      </c>
    </row>
    <row r="10" spans="1:3" ht="12.75">
      <c r="A10" t="s">
        <v>6</v>
      </c>
      <c r="B10">
        <v>0.10536051565782628</v>
      </c>
      <c r="C10">
        <v>0.06293979977387408</v>
      </c>
    </row>
    <row r="11" spans="1:3" ht="12.75">
      <c r="A11" t="s">
        <v>7</v>
      </c>
      <c r="B11">
        <v>0.09431067947124129</v>
      </c>
      <c r="C11">
        <v>0.05129329438755058</v>
      </c>
    </row>
    <row r="12" spans="1:3" ht="12.75">
      <c r="A12" t="s">
        <v>8</v>
      </c>
      <c r="B12">
        <v>0.08664780672567217</v>
      </c>
      <c r="C12">
        <v>0.040821994520255166</v>
      </c>
    </row>
    <row r="13" spans="1:3" ht="12.75">
      <c r="A13" t="s">
        <v>9</v>
      </c>
      <c r="B13">
        <v>0.08121005542554317</v>
      </c>
      <c r="C13">
        <v>0.03149066709137085</v>
      </c>
    </row>
    <row r="14" spans="1:3" ht="12.75">
      <c r="A14" t="s">
        <v>10</v>
      </c>
      <c r="B14">
        <v>0.07688104433595762</v>
      </c>
      <c r="C14">
        <v>0.02326862693935433</v>
      </c>
    </row>
    <row r="15" spans="1:3" ht="12.75">
      <c r="A15" t="s">
        <v>11</v>
      </c>
      <c r="B15">
        <v>0.0725706928348355</v>
      </c>
      <c r="C15">
        <v>0.017146158834970514</v>
      </c>
    </row>
    <row r="16" spans="1:3" ht="12.75">
      <c r="A16" t="s">
        <v>12</v>
      </c>
      <c r="B16">
        <v>0.06935007813479317</v>
      </c>
      <c r="C16">
        <v>0.01308523954865548</v>
      </c>
    </row>
    <row r="17" spans="1:3" ht="12.75">
      <c r="A17" t="s">
        <v>13</v>
      </c>
      <c r="B17">
        <v>0.06613980250454507</v>
      </c>
      <c r="C17">
        <v>0.01005033585350145</v>
      </c>
    </row>
    <row r="18" spans="1:3" ht="12.75">
      <c r="A18" t="s">
        <v>14</v>
      </c>
      <c r="B18">
        <v>0.06400532997591243</v>
      </c>
      <c r="C18">
        <v>0.007024614936964466</v>
      </c>
    </row>
    <row r="19" spans="1:3" ht="12.75">
      <c r="A19" t="s">
        <v>15</v>
      </c>
      <c r="B19">
        <v>0.06187540371808753</v>
      </c>
      <c r="C19">
        <v>0.005012541823544286</v>
      </c>
    </row>
    <row r="21" ht="12.75">
      <c r="A21" t="s">
        <v>41</v>
      </c>
    </row>
    <row r="22" spans="1:3" ht="12.75">
      <c r="A22" t="s">
        <v>0</v>
      </c>
      <c r="B22">
        <f aca="true" t="shared" si="0" ref="B22:C37">1-EXP(-B4)</f>
        <v>0</v>
      </c>
      <c r="C22">
        <f t="shared" si="0"/>
        <v>0</v>
      </c>
    </row>
    <row r="23" spans="1:3" ht="12.75">
      <c r="A23" t="s">
        <v>1</v>
      </c>
      <c r="B23">
        <f t="shared" si="0"/>
        <v>0.0040000000000000036</v>
      </c>
      <c r="C23">
        <f t="shared" si="0"/>
        <v>0.020000000000000018</v>
      </c>
    </row>
    <row r="24" spans="1:3" ht="12.75">
      <c r="A24" t="s">
        <v>2</v>
      </c>
      <c r="B24">
        <f t="shared" si="0"/>
        <v>0.03500000000000003</v>
      </c>
      <c r="C24">
        <f t="shared" si="0"/>
        <v>0.07000000000000006</v>
      </c>
    </row>
    <row r="25" spans="1:3" ht="12.75">
      <c r="A25" t="s">
        <v>3</v>
      </c>
      <c r="B25">
        <f t="shared" si="0"/>
        <v>0.10999999999999999</v>
      </c>
      <c r="C25">
        <f t="shared" si="0"/>
        <v>0.09499999999999997</v>
      </c>
    </row>
    <row r="26" spans="1:3" ht="12.75">
      <c r="A26" t="s">
        <v>4</v>
      </c>
      <c r="B26">
        <f t="shared" si="0"/>
        <v>0.12</v>
      </c>
      <c r="C26">
        <f t="shared" si="0"/>
        <v>0.08799999999999997</v>
      </c>
    </row>
    <row r="27" spans="1:3" ht="12.75">
      <c r="A27" t="s">
        <v>5</v>
      </c>
      <c r="B27">
        <f t="shared" si="0"/>
        <v>0.11199999999999999</v>
      </c>
      <c r="C27">
        <f t="shared" si="0"/>
        <v>0.07499999999999996</v>
      </c>
    </row>
    <row r="28" spans="1:3" ht="12.75">
      <c r="A28" t="s">
        <v>6</v>
      </c>
      <c r="B28">
        <f t="shared" si="0"/>
        <v>0.09999999999999998</v>
      </c>
      <c r="C28">
        <f t="shared" si="0"/>
        <v>0.06099999999999994</v>
      </c>
    </row>
    <row r="29" spans="1:3" ht="12.75">
      <c r="A29" t="s">
        <v>7</v>
      </c>
      <c r="B29">
        <f t="shared" si="0"/>
        <v>0.08999999999999997</v>
      </c>
      <c r="C29">
        <f t="shared" si="0"/>
        <v>0.050000000000000044</v>
      </c>
    </row>
    <row r="30" spans="1:3" ht="12.75">
      <c r="A30" t="s">
        <v>8</v>
      </c>
      <c r="B30">
        <f t="shared" si="0"/>
        <v>0.08299999999999996</v>
      </c>
      <c r="C30">
        <f t="shared" si="0"/>
        <v>0.040000000000000036</v>
      </c>
    </row>
    <row r="31" spans="1:3" ht="12.75">
      <c r="A31" t="s">
        <v>9</v>
      </c>
      <c r="B31">
        <f t="shared" si="0"/>
        <v>0.07799999999999996</v>
      </c>
      <c r="C31">
        <f t="shared" si="0"/>
        <v>0.031000000000000028</v>
      </c>
    </row>
    <row r="32" spans="1:3" ht="12.75">
      <c r="A32" t="s">
        <v>10</v>
      </c>
      <c r="B32">
        <f t="shared" si="0"/>
        <v>0.07399999999999995</v>
      </c>
      <c r="C32">
        <f t="shared" si="0"/>
        <v>0.02300000000000002</v>
      </c>
    </row>
    <row r="33" spans="1:3" ht="12.75">
      <c r="A33" t="s">
        <v>11</v>
      </c>
      <c r="B33">
        <f t="shared" si="0"/>
        <v>0.07000000000000006</v>
      </c>
      <c r="C33">
        <f t="shared" si="0"/>
        <v>0.017000000000000015</v>
      </c>
    </row>
    <row r="34" spans="1:3" ht="12.75">
      <c r="A34" t="s">
        <v>12</v>
      </c>
      <c r="B34">
        <f t="shared" si="0"/>
        <v>0.06699999999999995</v>
      </c>
      <c r="C34">
        <f t="shared" si="0"/>
        <v>0.013000000000000012</v>
      </c>
    </row>
    <row r="35" spans="1:3" ht="12.75">
      <c r="A35" t="s">
        <v>13</v>
      </c>
      <c r="B35">
        <f t="shared" si="0"/>
        <v>0.06400000000000006</v>
      </c>
      <c r="C35">
        <f t="shared" si="0"/>
        <v>0.010000000000000009</v>
      </c>
    </row>
    <row r="36" spans="1:3" ht="12.75">
      <c r="A36" t="s">
        <v>14</v>
      </c>
      <c r="B36">
        <f t="shared" si="0"/>
        <v>0.062000000000000055</v>
      </c>
      <c r="C36">
        <f t="shared" si="0"/>
        <v>0.007000000000000006</v>
      </c>
    </row>
    <row r="37" spans="1:3" ht="12.75">
      <c r="A37" t="s">
        <v>15</v>
      </c>
      <c r="B37">
        <f t="shared" si="0"/>
        <v>0.06000000000000005</v>
      </c>
      <c r="C37">
        <f t="shared" si="0"/>
        <v>0.0050000000000000044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1">
      <selection activeCell="B27" sqref="B27"/>
    </sheetView>
  </sheetViews>
  <sheetFormatPr defaultColWidth="9.140625" defaultRowHeight="12.75"/>
  <sheetData>
    <row r="1" spans="2:3" ht="12.75">
      <c r="B1" t="s">
        <v>35</v>
      </c>
      <c r="C1" t="s">
        <v>36</v>
      </c>
    </row>
    <row r="3" ht="12.75">
      <c r="A3" t="s">
        <v>43</v>
      </c>
    </row>
    <row r="4" spans="1:3" ht="12.75">
      <c r="A4" t="s">
        <v>0</v>
      </c>
      <c r="B4">
        <v>0</v>
      </c>
      <c r="C4">
        <v>0</v>
      </c>
    </row>
    <row r="5" spans="1:3" ht="12.75">
      <c r="A5" t="s">
        <v>1</v>
      </c>
      <c r="B5">
        <v>0.0003233318295511794</v>
      </c>
      <c r="C5">
        <v>0.006706738212273692</v>
      </c>
    </row>
    <row r="6" spans="1:3" ht="12.75">
      <c r="A6" t="s">
        <v>2</v>
      </c>
      <c r="B6">
        <v>0.016286621722780375</v>
      </c>
      <c r="C6">
        <v>0.01969936249644</v>
      </c>
    </row>
    <row r="7" spans="1:3" ht="12.75">
      <c r="A7" t="s">
        <v>3</v>
      </c>
      <c r="B7">
        <v>0.025160678923624134</v>
      </c>
      <c r="C7">
        <v>0.023994078734530216</v>
      </c>
    </row>
    <row r="8" spans="1:3" ht="12.75">
      <c r="A8" t="s">
        <v>4</v>
      </c>
      <c r="B8">
        <v>0.025001350177499278</v>
      </c>
      <c r="C8">
        <v>0.023567183697302745</v>
      </c>
    </row>
    <row r="9" spans="1:3" ht="12.75">
      <c r="A9" t="s">
        <v>5</v>
      </c>
      <c r="B9">
        <v>0.021790320936410514</v>
      </c>
      <c r="C9">
        <v>0.01862004155178603</v>
      </c>
    </row>
    <row r="10" spans="1:3" ht="12.75">
      <c r="A10" t="s">
        <v>6</v>
      </c>
      <c r="B10">
        <v>0.018218135114280207</v>
      </c>
      <c r="C10">
        <v>0.01600433828342869</v>
      </c>
    </row>
    <row r="11" spans="1:3" ht="12.75">
      <c r="A11" t="s">
        <v>7</v>
      </c>
      <c r="B11">
        <v>0.014536182106263465</v>
      </c>
      <c r="C11">
        <v>0.011424223155149231</v>
      </c>
    </row>
    <row r="12" spans="1:3" ht="12.75">
      <c r="A12" t="s">
        <v>8</v>
      </c>
      <c r="B12">
        <v>0.010917125634532102</v>
      </c>
      <c r="C12">
        <v>0.007734929044504158</v>
      </c>
    </row>
    <row r="13" spans="1:3" ht="12.75">
      <c r="A13" t="s">
        <v>9</v>
      </c>
      <c r="B13">
        <v>0.007105698448523214</v>
      </c>
      <c r="C13">
        <v>0.005006656246925636</v>
      </c>
    </row>
    <row r="14" spans="1:3" ht="12.75">
      <c r="A14" t="s">
        <v>10</v>
      </c>
      <c r="B14">
        <v>0.004537042350670292</v>
      </c>
      <c r="C14">
        <v>0.002799630872326462</v>
      </c>
    </row>
    <row r="15" spans="1:3" ht="12.75">
      <c r="A15" t="s">
        <v>11</v>
      </c>
      <c r="B15">
        <v>0.0035521462565906905</v>
      </c>
      <c r="C15">
        <v>0.0018076040719863123</v>
      </c>
    </row>
    <row r="16" spans="1:3" ht="12.75">
      <c r="A16" t="s">
        <v>12</v>
      </c>
      <c r="B16">
        <v>0.002035527976998882</v>
      </c>
      <c r="C16">
        <v>0.0006246956373401968</v>
      </c>
    </row>
    <row r="17" spans="1:3" ht="12.75">
      <c r="A17" t="s">
        <v>13</v>
      </c>
      <c r="B17">
        <v>0.0015361279594386882</v>
      </c>
      <c r="C17">
        <v>0.0005460529936812057</v>
      </c>
    </row>
    <row r="18" spans="1:3" ht="12.75">
      <c r="A18" t="s">
        <v>14</v>
      </c>
      <c r="B18">
        <v>0.0015361279594386882</v>
      </c>
      <c r="C18">
        <v>0.0005460529936812057</v>
      </c>
    </row>
    <row r="19" spans="1:3" ht="12.75">
      <c r="A19" t="s">
        <v>15</v>
      </c>
      <c r="B19">
        <v>0.0015361279594386882</v>
      </c>
      <c r="C19">
        <v>0.0005460529936812057</v>
      </c>
    </row>
    <row r="21" ht="12.75">
      <c r="A21" t="s">
        <v>42</v>
      </c>
    </row>
    <row r="22" spans="1:3" ht="12.75">
      <c r="A22" t="s">
        <v>0</v>
      </c>
      <c r="B22">
        <f>1-EXP(-B4)*(1-MMULT('Age preferences'!B24:Q24,'Non-AIDS mortality'!B$22:B$37))</f>
        <v>0.0005076583013455815</v>
      </c>
      <c r="C22">
        <f>1-EXP(-C4)*(1-MMULT('Age preferences'!B5:Q5,'Non-AIDS mortality'!B$4:B$19))</f>
        <v>0.0020221205314716606</v>
      </c>
    </row>
    <row r="23" spans="1:3" ht="12.75">
      <c r="A23" t="s">
        <v>1</v>
      </c>
      <c r="B23">
        <f>1-EXP(-B5)*(1-MMULT('Age preferences'!B25:Q25,'Non-AIDS mortality'!B$22:B$37))</f>
        <v>0.0013725458049334005</v>
      </c>
      <c r="C23">
        <f>1-EXP(-C5)*(1-MMULT('Age preferences'!B6:Q6,'Non-AIDS mortality'!B$4:B$19))</f>
        <v>0.010366525580298824</v>
      </c>
    </row>
    <row r="24" spans="1:3" ht="12.75">
      <c r="A24" t="s">
        <v>2</v>
      </c>
      <c r="B24">
        <f>1-EXP(-B6)*(1-MMULT('Age preferences'!B26:Q26,'Non-AIDS mortality'!B$22:B$37))</f>
        <v>0.017751472400150847</v>
      </c>
      <c r="C24">
        <f>1-EXP(-C6)*(1-MMULT('Age preferences'!B7:Q7,'Non-AIDS mortality'!B$4:B$19))</f>
        <v>0.024521407848156485</v>
      </c>
    </row>
    <row r="25" spans="1:3" ht="12.75">
      <c r="A25" t="s">
        <v>3</v>
      </c>
      <c r="B25">
        <f>1-EXP(-B7)*(1-MMULT('Age preferences'!B27:Q27,'Non-AIDS mortality'!B$22:B$37))</f>
        <v>0.026828505492328292</v>
      </c>
      <c r="C25">
        <f>1-EXP(-C7)*(1-MMULT('Age preferences'!B8:Q8,'Non-AIDS mortality'!B$4:B$19))</f>
        <v>0.029768912566519257</v>
      </c>
    </row>
    <row r="26" spans="1:3" ht="12.75">
      <c r="A26" t="s">
        <v>4</v>
      </c>
      <c r="B26">
        <f>1-EXP(-B8)*(1-MMULT('Age preferences'!B28:Q28,'Non-AIDS mortality'!B$22:B$37))</f>
        <v>0.026988410803713725</v>
      </c>
      <c r="C26">
        <f>1-EXP(-C8)*(1-MMULT('Age preferences'!B9:Q9,'Non-AIDS mortality'!B$4:B$19))</f>
        <v>0.03061390659032015</v>
      </c>
    </row>
    <row r="27" spans="1:3" ht="12.75">
      <c r="A27" t="s">
        <v>5</v>
      </c>
      <c r="B27">
        <f>1-EXP(-B9)*(1-MMULT('Age preferences'!B29:Q29,'Non-AIDS mortality'!B$22:B$37))</f>
        <v>0.02430269279129782</v>
      </c>
      <c r="C27">
        <f>1-EXP(-C9)*(1-MMULT('Age preferences'!B10:Q10,'Non-AIDS mortality'!B$4:B$19))</f>
        <v>0.028215431348095565</v>
      </c>
    </row>
    <row r="28" spans="1:3" ht="12.75">
      <c r="A28" t="s">
        <v>6</v>
      </c>
      <c r="B28">
        <f>1-EXP(-B10)*(1-MMULT('Age preferences'!B30:Q30,'Non-AIDS mortality'!B$22:B$37))</f>
        <v>0.02179326403363202</v>
      </c>
      <c r="C28">
        <f>1-EXP(-C10)*(1-MMULT('Age preferences'!B11:Q11,'Non-AIDS mortality'!B$4:B$19))</f>
        <v>0.028795713222669495</v>
      </c>
    </row>
    <row r="29" spans="1:3" ht="12.75">
      <c r="A29" t="s">
        <v>7</v>
      </c>
      <c r="B29">
        <f>1-EXP(-B11)*(1-MMULT('Age preferences'!B31:Q31,'Non-AIDS mortality'!B$22:B$37))</f>
        <v>0.020028273830651977</v>
      </c>
      <c r="C29">
        <f>1-EXP(-C11)*(1-MMULT('Age preferences'!B12:Q12,'Non-AIDS mortality'!B$4:B$19))</f>
        <v>0.02930806926609364</v>
      </c>
    </row>
    <row r="30" spans="1:3" ht="12.75">
      <c r="A30" t="s">
        <v>8</v>
      </c>
      <c r="B30">
        <f>1-EXP(-B12)*(1-MMULT('Age preferences'!B32:Q32,'Non-AIDS mortality'!B$22:B$37))</f>
        <v>0.01892260907084453</v>
      </c>
      <c r="C30">
        <f>1-EXP(-C12)*(1-MMULT('Age preferences'!B13:Q13,'Non-AIDS mortality'!B$4:B$19))</f>
        <v>0.031478111421760824</v>
      </c>
    </row>
    <row r="31" spans="1:3" ht="12.75">
      <c r="A31" t="s">
        <v>9</v>
      </c>
      <c r="B31">
        <f>1-EXP(-B13)*(1-MMULT('Age preferences'!B33:Q33,'Non-AIDS mortality'!B$22:B$37))</f>
        <v>0.01835140360358467</v>
      </c>
      <c r="C31">
        <f>1-EXP(-C13)*(1-MMULT('Age preferences'!B14:Q14,'Non-AIDS mortality'!B$4:B$19))</f>
        <v>0.03669448326927982</v>
      </c>
    </row>
    <row r="32" spans="1:3" ht="12.75">
      <c r="A32" t="s">
        <v>10</v>
      </c>
      <c r="B32">
        <f>1-EXP(-B14)*(1-MMULT('Age preferences'!B34:Q34,'Non-AIDS mortality'!B$22:B$37))</f>
        <v>0.02005786430769607</v>
      </c>
      <c r="C32">
        <f>1-EXP(-C14)*(1-MMULT('Age preferences'!B15:Q15,'Non-AIDS mortality'!B$4:B$19))</f>
        <v>0.04499572878116098</v>
      </c>
    </row>
    <row r="33" spans="1:3" ht="12.75">
      <c r="A33" t="s">
        <v>11</v>
      </c>
      <c r="B33">
        <f>1-EXP(-B15)*(1-MMULT('Age preferences'!B35:Q35,'Non-AIDS mortality'!B$22:B$37))</f>
        <v>0.023307868295971312</v>
      </c>
      <c r="C33">
        <f>1-EXP(-C15)*(1-MMULT('Age preferences'!B16:Q16,'Non-AIDS mortality'!B$4:B$19))</f>
        <v>0.057510497752264356</v>
      </c>
    </row>
    <row r="34" spans="1:3" ht="12.75">
      <c r="A34" t="s">
        <v>12</v>
      </c>
      <c r="B34">
        <f>1-EXP(-B16)*(1-MMULT('Age preferences'!B36:Q36,'Non-AIDS mortality'!B$22:B$37))</f>
        <v>0.030766711232520505</v>
      </c>
      <c r="C34">
        <f>1-EXP(-C16)*(1-MMULT('Age preferences'!B17:Q17,'Non-AIDS mortality'!B$4:B$19))</f>
        <v>0.0730264594823945</v>
      </c>
    </row>
    <row r="35" spans="1:3" ht="12.75">
      <c r="A35" t="s">
        <v>13</v>
      </c>
      <c r="B35">
        <f>1-EXP(-B17)*(1-MMULT('Age preferences'!B37:Q37,'Non-AIDS mortality'!B$22:B$37))</f>
        <v>0.0401197534776534</v>
      </c>
      <c r="C35">
        <f>1-EXP(-C17)*(1-MMULT('Age preferences'!B18:Q18,'Non-AIDS mortality'!B$4:B$19))</f>
        <v>0.09247478009866195</v>
      </c>
    </row>
    <row r="36" spans="1:3" ht="12.75">
      <c r="A36" t="s">
        <v>14</v>
      </c>
      <c r="B36">
        <f>1-EXP(-B18)*(1-MMULT('Age preferences'!B38:Q38,'Non-AIDS mortality'!B$22:B$37))</f>
        <v>0.04971485990723279</v>
      </c>
      <c r="C36">
        <f>1-EXP(-C18)*(1-MMULT('Age preferences'!B19:Q19,'Non-AIDS mortality'!B$4:B$19))</f>
        <v>0.1180713152264562</v>
      </c>
    </row>
    <row r="37" spans="1:3" ht="12.75">
      <c r="A37" t="s">
        <v>15</v>
      </c>
      <c r="B37">
        <f>1-EXP(-B19)*(1-MMULT('Age preferences'!B39:Q39,'Non-AIDS mortality'!B$22:B$37))</f>
        <v>0.057976892932315116</v>
      </c>
      <c r="C37">
        <f>1-EXP(-C19)*(1-MMULT('Age preferences'!B20:Q20,'Non-AIDS mortality'!B$4:B$19))</f>
        <v>0.15001424901790616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H36"/>
  <sheetViews>
    <sheetView workbookViewId="0" topLeftCell="A1">
      <selection activeCell="B26" sqref="B26"/>
    </sheetView>
  </sheetViews>
  <sheetFormatPr defaultColWidth="9.140625" defaultRowHeight="12.75"/>
  <sheetData>
    <row r="2" spans="1:8" ht="12.75">
      <c r="A2" t="s">
        <v>97</v>
      </c>
      <c r="H2">
        <v>0.126</v>
      </c>
    </row>
    <row r="3" ht="12.75">
      <c r="A3" t="s">
        <v>98</v>
      </c>
    </row>
    <row r="4" spans="2:8" ht="12.75">
      <c r="B4" t="s">
        <v>99</v>
      </c>
      <c r="H4">
        <v>20</v>
      </c>
    </row>
    <row r="5" spans="2:8" ht="12.75">
      <c r="B5" t="s">
        <v>100</v>
      </c>
      <c r="H5">
        <v>11</v>
      </c>
    </row>
    <row r="6" spans="2:8" ht="12.75">
      <c r="B6" t="s">
        <v>102</v>
      </c>
      <c r="H6">
        <f>H4/(H5^2)</f>
        <v>0.1652892561983471</v>
      </c>
    </row>
    <row r="7" spans="2:8" ht="12.75">
      <c r="B7" t="s">
        <v>101</v>
      </c>
      <c r="H7">
        <f>H4*H6</f>
        <v>3.3057851239669422</v>
      </c>
    </row>
    <row r="8" ht="12.75">
      <c r="A8" t="s">
        <v>103</v>
      </c>
    </row>
    <row r="9" spans="2:8" ht="12.75">
      <c r="B9" t="s">
        <v>104</v>
      </c>
      <c r="H9">
        <v>0.5</v>
      </c>
    </row>
    <row r="10" spans="2:8" ht="12.75">
      <c r="B10" t="s">
        <v>105</v>
      </c>
      <c r="H10">
        <v>0.3</v>
      </c>
    </row>
    <row r="11" spans="2:8" ht="12.75">
      <c r="B11" t="s">
        <v>106</v>
      </c>
      <c r="H11">
        <v>0.2</v>
      </c>
    </row>
    <row r="12" spans="2:8" ht="12.75">
      <c r="B12" t="s">
        <v>107</v>
      </c>
      <c r="H12">
        <v>0.1</v>
      </c>
    </row>
    <row r="13" spans="1:8" ht="12.75">
      <c r="A13" t="s">
        <v>117</v>
      </c>
      <c r="H13">
        <v>1000</v>
      </c>
    </row>
    <row r="15" spans="3:7" ht="12.75">
      <c r="C15" t="s">
        <v>110</v>
      </c>
      <c r="D15" t="s">
        <v>110</v>
      </c>
      <c r="E15" t="s">
        <v>115</v>
      </c>
      <c r="G15" t="s">
        <v>118</v>
      </c>
    </row>
    <row r="16" spans="3:7" ht="12.75">
      <c r="C16" t="s">
        <v>111</v>
      </c>
      <c r="D16" t="s">
        <v>113</v>
      </c>
      <c r="E16" t="s">
        <v>113</v>
      </c>
      <c r="G16" t="s">
        <v>119</v>
      </c>
    </row>
    <row r="17" spans="2:7" ht="12.75">
      <c r="B17" t="s">
        <v>109</v>
      </c>
      <c r="C17" t="s">
        <v>112</v>
      </c>
      <c r="D17" t="s">
        <v>112</v>
      </c>
      <c r="E17" t="s">
        <v>112</v>
      </c>
      <c r="G17" t="s">
        <v>120</v>
      </c>
    </row>
    <row r="18" spans="1:7" ht="12.75">
      <c r="A18" t="s">
        <v>108</v>
      </c>
      <c r="B18" t="s">
        <v>38</v>
      </c>
      <c r="C18" t="s">
        <v>96</v>
      </c>
      <c r="D18" t="s">
        <v>114</v>
      </c>
      <c r="E18" t="s">
        <v>114</v>
      </c>
      <c r="G18" t="s">
        <v>121</v>
      </c>
    </row>
    <row r="19" spans="1:7" ht="12.75">
      <c r="A19" t="s">
        <v>0</v>
      </c>
      <c r="B19" s="7">
        <v>12.5</v>
      </c>
      <c r="C19">
        <f>(H$6^H$7)*((B19-10)^(H$7-1))*EXP(-H$6*(B19-10))</f>
        <v>0.01424912953061404</v>
      </c>
      <c r="D19">
        <f>C19*('Start profile calcs'!BD15+'Start profile calcs'!BF15*H$9+'Start profile calcs'!BN15*H$10+'Start profile calcs'!BH15*H$11+'Start profile calcs'!BP15*H$12)</f>
        <v>152.19779604689643</v>
      </c>
      <c r="E19">
        <f>D19*E$36/D$36</f>
        <v>3537.4787140907915</v>
      </c>
      <c r="G19" s="8">
        <v>0</v>
      </c>
    </row>
    <row r="20" spans="1:7" ht="12.75">
      <c r="A20" t="s">
        <v>1</v>
      </c>
      <c r="B20" s="7">
        <v>17.5</v>
      </c>
      <c r="C20">
        <f aca="true" t="shared" si="0" ref="C20:C34">(H$6^H$7)*((B20-10)^(H$7-1))*EXP(-H$6*(B20-10))</f>
        <v>0.07852471456840004</v>
      </c>
      <c r="D20">
        <f>C20*('Start profile calcs'!BD16+'Start profile calcs'!BF16*H$9+'Start profile calcs'!BN16*H$10+'Start profile calcs'!BH16*H$11+'Start profile calcs'!BP16*H$12)</f>
        <v>6098.666732303382</v>
      </c>
      <c r="E20">
        <f aca="true" t="shared" si="1" ref="E20:E34">D20*E$36/D$36</f>
        <v>141749.1206193901</v>
      </c>
      <c r="G20" s="8">
        <v>0.263157894736842</v>
      </c>
    </row>
    <row r="21" spans="1:7" ht="12.75">
      <c r="A21" t="s">
        <v>2</v>
      </c>
      <c r="B21" s="7">
        <v>22.5</v>
      </c>
      <c r="C21">
        <f t="shared" si="0"/>
        <v>0.1115888632982487</v>
      </c>
      <c r="D21">
        <f>C21*('Start profile calcs'!BD17+'Start profile calcs'!BF17*H$9+'Start profile calcs'!BN17*H$10+'Start profile calcs'!BH17*H$11+'Start profile calcs'!BP17*H$12)</f>
        <v>13925.244954139444</v>
      </c>
      <c r="E21">
        <f t="shared" si="1"/>
        <v>323659.46743795165</v>
      </c>
      <c r="G21" s="8">
        <v>0.384615384615385</v>
      </c>
    </row>
    <row r="22" spans="1:7" ht="12.75">
      <c r="A22" t="s">
        <v>3</v>
      </c>
      <c r="B22" s="7">
        <v>27.5</v>
      </c>
      <c r="C22">
        <f t="shared" si="0"/>
        <v>0.10608149829863019</v>
      </c>
      <c r="D22">
        <f>C22*('Start profile calcs'!BD18+'Start profile calcs'!BF18*H$9+'Start profile calcs'!BN18*H$10+'Start profile calcs'!BH18*H$11+'Start profile calcs'!BP18*H$12)</f>
        <v>10612.385885732738</v>
      </c>
      <c r="E22">
        <f t="shared" si="1"/>
        <v>246659.8738718243</v>
      </c>
      <c r="G22" s="8">
        <v>0.226720647773279</v>
      </c>
    </row>
    <row r="23" spans="1:7" ht="12.75">
      <c r="A23" t="s">
        <v>4</v>
      </c>
      <c r="B23" s="7">
        <v>32.5</v>
      </c>
      <c r="C23">
        <f t="shared" si="0"/>
        <v>0.0828671265231577</v>
      </c>
      <c r="D23">
        <f>C23*('Start profile calcs'!BD19+'Start profile calcs'!BF19*H$9+'Start profile calcs'!BN19*H$10+'Start profile calcs'!BH19*H$11+'Start profile calcs'!BP19*H$12)</f>
        <v>5829.555032254683</v>
      </c>
      <c r="E23">
        <f t="shared" si="1"/>
        <v>135494.25402236183</v>
      </c>
      <c r="G23" s="8">
        <v>0.09</v>
      </c>
    </row>
    <row r="24" spans="1:7" ht="12.75">
      <c r="A24" t="s">
        <v>5</v>
      </c>
      <c r="B24" s="7">
        <v>37.5</v>
      </c>
      <c r="C24">
        <f t="shared" si="0"/>
        <v>0.05759845031971881</v>
      </c>
      <c r="D24">
        <f>C24*('Start profile calcs'!BD20+'Start profile calcs'!BF20*H$9+'Start profile calcs'!BN20*H$10+'Start profile calcs'!BH20*H$11+'Start profile calcs'!BP20*H$12)</f>
        <v>3086.4003932802125</v>
      </c>
      <c r="E24">
        <f t="shared" si="1"/>
        <v>71736.09590920774</v>
      </c>
      <c r="G24" s="8">
        <v>0.03</v>
      </c>
    </row>
    <row r="25" spans="1:7" ht="12.75">
      <c r="A25" t="s">
        <v>6</v>
      </c>
      <c r="B25" s="7">
        <v>42.5</v>
      </c>
      <c r="C25">
        <f t="shared" si="0"/>
        <v>0.037048957196068016</v>
      </c>
      <c r="D25">
        <f>C25*('Start profile calcs'!BD21+'Start profile calcs'!BF21*H$9+'Start profile calcs'!BN21*H$10+'Start profile calcs'!BH21*H$11+'Start profile calcs'!BP21*H$12)</f>
        <v>1596.9206131082922</v>
      </c>
      <c r="E25">
        <f t="shared" si="1"/>
        <v>37116.65230173741</v>
      </c>
      <c r="G25" s="8">
        <v>0.00550607287449389</v>
      </c>
    </row>
    <row r="26" spans="1:7" ht="12.75">
      <c r="A26" t="s">
        <v>7</v>
      </c>
      <c r="B26" s="7">
        <v>47.5</v>
      </c>
      <c r="C26">
        <f t="shared" si="0"/>
        <v>0.0225504206751715</v>
      </c>
      <c r="D26">
        <f>C26*('Start profile calcs'!BD22+'Start profile calcs'!BF22*H$9+'Start profile calcs'!BN22*H$10+'Start profile calcs'!BH22*H$11+'Start profile calcs'!BP22*H$12)</f>
        <v>941.3478625205967</v>
      </c>
      <c r="E26">
        <f t="shared" si="1"/>
        <v>21879.41029839492</v>
      </c>
      <c r="G26" s="8">
        <v>0</v>
      </c>
    </row>
    <row r="27" spans="1:7" ht="12.75">
      <c r="A27" t="s">
        <v>8</v>
      </c>
      <c r="B27" s="7">
        <v>52.5</v>
      </c>
      <c r="C27">
        <f t="shared" si="0"/>
        <v>0.0131695421837029</v>
      </c>
      <c r="D27">
        <f>C27*('Start profile calcs'!BD23+'Start profile calcs'!BF23*H$9+'Start profile calcs'!BN23*H$10+'Start profile calcs'!BH23*H$11+'Start profile calcs'!BP23*H$12)</f>
        <v>497.71444499076347</v>
      </c>
      <c r="E27">
        <f t="shared" si="1"/>
        <v>11568.198098662551</v>
      </c>
      <c r="G27" s="8">
        <v>0</v>
      </c>
    </row>
    <row r="28" spans="1:7" ht="12.75">
      <c r="A28" t="s">
        <v>9</v>
      </c>
      <c r="B28" s="7">
        <v>57.5</v>
      </c>
      <c r="C28">
        <f t="shared" si="0"/>
        <v>0.007447831282128044</v>
      </c>
      <c r="D28">
        <f>C28*('Start profile calcs'!BD24+'Start profile calcs'!BF24*H$9+'Start profile calcs'!BN24*H$10+'Start profile calcs'!BH24*H$11+'Start profile calcs'!BP24*H$12)</f>
        <v>269.8122638992758</v>
      </c>
      <c r="E28">
        <f t="shared" si="1"/>
        <v>6271.149551010851</v>
      </c>
      <c r="G28" s="8">
        <v>0</v>
      </c>
    </row>
    <row r="29" spans="1:7" ht="12.75">
      <c r="A29" t="s">
        <v>10</v>
      </c>
      <c r="B29" s="7">
        <v>62.5</v>
      </c>
      <c r="C29">
        <f t="shared" si="0"/>
        <v>0.004105171645717066</v>
      </c>
      <c r="D29">
        <f>C29*('Start profile calcs'!BD25+'Start profile calcs'!BF25*H$9+'Start profile calcs'!BN25*H$10+'Start profile calcs'!BH25*H$11+'Start profile calcs'!BP25*H$12)</f>
        <v>129.8152924693302</v>
      </c>
      <c r="E29">
        <f t="shared" si="1"/>
        <v>3017.2502217589795</v>
      </c>
      <c r="G29" s="8">
        <v>0</v>
      </c>
    </row>
    <row r="30" spans="1:7" ht="12.75">
      <c r="A30" t="s">
        <v>11</v>
      </c>
      <c r="B30" s="7">
        <v>67.5</v>
      </c>
      <c r="C30">
        <f t="shared" si="0"/>
        <v>0.0022156872976134443</v>
      </c>
      <c r="D30">
        <f>C30*('Start profile calcs'!BD26+'Start profile calcs'!BF26*H$9+'Start profile calcs'!BN26*H$10+'Start profile calcs'!BH26*H$11+'Start profile calcs'!BP26*H$12)</f>
        <v>72.23225307667491</v>
      </c>
      <c r="E30">
        <f t="shared" si="1"/>
        <v>1678.8683171918183</v>
      </c>
      <c r="G30" s="8">
        <v>0</v>
      </c>
    </row>
    <row r="31" spans="1:7" ht="12.75">
      <c r="A31" t="s">
        <v>12</v>
      </c>
      <c r="B31" s="7">
        <v>72.5</v>
      </c>
      <c r="C31">
        <f t="shared" si="0"/>
        <v>0.0011751272507642275</v>
      </c>
      <c r="D31">
        <f>C31*('Start profile calcs'!BD27+'Start profile calcs'!BF27*H$9+'Start profile calcs'!BN27*H$10+'Start profile calcs'!BH27*H$11+'Start profile calcs'!BP27*H$12)</f>
        <v>28.710574021820047</v>
      </c>
      <c r="E31">
        <f t="shared" si="1"/>
        <v>667.3095610413573</v>
      </c>
      <c r="G31" s="8">
        <v>0</v>
      </c>
    </row>
    <row r="32" spans="1:7" ht="12.75">
      <c r="A32" t="s">
        <v>13</v>
      </c>
      <c r="B32" s="7">
        <v>77.5</v>
      </c>
      <c r="C32">
        <f t="shared" si="0"/>
        <v>0.0006140897327555618</v>
      </c>
      <c r="D32">
        <f>C32*('Start profile calcs'!BD28+'Start profile calcs'!BF28*H$9+'Start profile calcs'!BN28*H$10+'Start profile calcs'!BH28*H$11+'Start profile calcs'!BP28*H$12)</f>
        <v>4.6743770386705465</v>
      </c>
      <c r="E32">
        <f t="shared" si="1"/>
        <v>108.64486678136096</v>
      </c>
      <c r="G32" s="8">
        <v>0</v>
      </c>
    </row>
    <row r="33" spans="1:7" ht="12.75">
      <c r="A33" t="s">
        <v>14</v>
      </c>
      <c r="B33" s="7">
        <v>82.5</v>
      </c>
      <c r="C33">
        <f t="shared" si="0"/>
        <v>0.0003168611917784771</v>
      </c>
      <c r="D33">
        <f>C33*('Start profile calcs'!BD29+'Start profile calcs'!BF29*H$9+'Start profile calcs'!BN29*H$10+'Start profile calcs'!BH29*H$11+'Start profile calcs'!BP29*H$12)</f>
        <v>0.29262292599705564</v>
      </c>
      <c r="E33">
        <f t="shared" si="1"/>
        <v>6.8013295780616385</v>
      </c>
      <c r="G33" s="8">
        <v>0</v>
      </c>
    </row>
    <row r="34" spans="1:7" ht="12.75">
      <c r="A34" t="s">
        <v>15</v>
      </c>
      <c r="B34" s="7">
        <v>87.5</v>
      </c>
      <c r="C34">
        <f t="shared" si="0"/>
        <v>0.0001617082030543177</v>
      </c>
      <c r="D34">
        <f>C34*('Start profile calcs'!BD30+'Start profile calcs'!BF30*H$9+'Start profile calcs'!BN30*H$10+'Start profile calcs'!BH30*H$11+'Start profile calcs'!BP30*H$12)</f>
        <v>0.006907197936386316</v>
      </c>
      <c r="E34">
        <f t="shared" si="1"/>
        <v>0.16054152102471714</v>
      </c>
      <c r="G34" s="8">
        <v>0</v>
      </c>
    </row>
    <row r="35" ht="12.75">
      <c r="B35" s="7"/>
    </row>
    <row r="36" spans="1:5" ht="12.75">
      <c r="A36" t="s">
        <v>116</v>
      </c>
      <c r="D36">
        <f>SUM(D20:D26)</f>
        <v>42090.52147333935</v>
      </c>
      <c r="E36">
        <f>H2*SUM('Starting population'!B19:B53)</f>
        <v>978294.8744608681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Cape Town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</dc:creator>
  <cp:keywords/>
  <dc:description/>
  <cp:lastModifiedBy>Johnson</cp:lastModifiedBy>
  <dcterms:created xsi:type="dcterms:W3CDTF">2009-07-28T09:29:04Z</dcterms:created>
  <dcterms:modified xsi:type="dcterms:W3CDTF">2009-08-11T09:05:07Z</dcterms:modified>
  <cp:category/>
  <cp:version/>
  <cp:contentType/>
  <cp:contentStatus/>
</cp:coreProperties>
</file>